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入力用" sheetId="1" r:id="rId1"/>
    <sheet name="印刷用" sheetId="2" r:id="rId2"/>
  </sheets>
  <definedNames>
    <definedName name="_xlnm.Print_Area" localSheetId="1">'印刷用'!$B$2:$O$50</definedName>
    <definedName name="_xlnm.Print_Area" localSheetId="0">'入力用'!$B$1:$O$58</definedName>
    <definedName name="サンプル">'入力用'!$I$2:$O$58</definedName>
    <definedName name="監督名">#REF!</definedName>
    <definedName name="前橋">'入力用'!$K$6</definedName>
    <definedName name="入力">'入力用'!$A$2:$G$58</definedName>
  </definedNames>
  <calcPr fullCalcOnLoad="1"/>
</workbook>
</file>

<file path=xl/comments1.xml><?xml version="1.0" encoding="utf-8"?>
<comments xmlns="http://schemas.openxmlformats.org/spreadsheetml/2006/main">
  <authors>
    <author>井上公彦</author>
    <author>kinoue</author>
    <author>深津知宏</author>
    <author>松村延幸</author>
  </authors>
  <commentList>
    <comment ref="C7" authorId="0">
      <text>
        <r>
          <rPr>
            <b/>
            <sz val="9"/>
            <rFont val="ＭＳ Ｐゴシック"/>
            <family val="3"/>
          </rPr>
          <t>○○県
○○市
○○町
○○村
学校法人○○
のように入力してください。この申込書の通り賞状等は作成します。</t>
        </r>
      </text>
    </comment>
    <comment ref="C2" authorId="1">
      <text>
        <r>
          <rPr>
            <b/>
            <sz val="9"/>
            <rFont val="ＭＳ Ｐゴシック"/>
            <family val="3"/>
          </rPr>
          <t>7/31（すべて半角）
と入力すると
(記入した年)年7月31日
と表示されます。</t>
        </r>
      </text>
    </comment>
    <comment ref="E31" authorId="2">
      <text>
        <r>
          <rPr>
            <b/>
            <sz val="9"/>
            <rFont val="ＭＳ Ｐゴシック"/>
            <family val="3"/>
          </rPr>
          <t>推薦者も入れた予選の順位を入れて下さい。</t>
        </r>
      </text>
    </comment>
    <comment ref="F31" authorId="2">
      <text>
        <r>
          <rPr>
            <b/>
            <sz val="9"/>
            <rFont val="ＭＳ Ｐゴシック"/>
            <family val="3"/>
          </rPr>
          <t>推薦者も、記入して下さい。</t>
        </r>
      </text>
    </comment>
    <comment ref="C3" authorId="3">
      <text>
        <r>
          <rPr>
            <b/>
            <sz val="9"/>
            <rFont val="MS P ゴシック"/>
            <family val="3"/>
          </rPr>
          <t>西暦（全角）で
入力してください。</t>
        </r>
      </text>
    </comment>
  </commentList>
</comments>
</file>

<file path=xl/sharedStrings.xml><?xml version="1.0" encoding="utf-8"?>
<sst xmlns="http://schemas.openxmlformats.org/spreadsheetml/2006/main" count="203" uniqueCount="133">
  <si>
    <t>学校名</t>
  </si>
  <si>
    <t>学校住所</t>
  </si>
  <si>
    <t>監督名</t>
  </si>
  <si>
    <t>主将</t>
  </si>
  <si>
    <t>２</t>
  </si>
  <si>
    <t>３</t>
  </si>
  <si>
    <t>４</t>
  </si>
  <si>
    <t>氏名</t>
  </si>
  <si>
    <t>学年</t>
  </si>
  <si>
    <t>氏　　名</t>
  </si>
  <si>
    <t>５</t>
  </si>
  <si>
    <t>６</t>
  </si>
  <si>
    <t>７</t>
  </si>
  <si>
    <t>８</t>
  </si>
  <si>
    <t>男女の別</t>
  </si>
  <si>
    <t>中学校名</t>
  </si>
  <si>
    <t>学校長名</t>
  </si>
  <si>
    <t>学校住所２
（上記以降）</t>
  </si>
  <si>
    <t>学校電話番号</t>
  </si>
  <si>
    <t>学校ＦＡＸ</t>
  </si>
  <si>
    <t>入力例</t>
  </si>
  <si>
    <t>男子</t>
  </si>
  <si>
    <t>学校設立団体名</t>
  </si>
  <si>
    <t>アドバイザー氏名</t>
  </si>
  <si>
    <t>学校郵便番号</t>
  </si>
  <si>
    <t>総合体育大会</t>
  </si>
  <si>
    <t>沼田</t>
  </si>
  <si>
    <t>沼田市</t>
  </si>
  <si>
    <t>真庭　拓郎</t>
  </si>
  <si>
    <t>沼田中学校</t>
  </si>
  <si>
    <t>東原新町１８０１－１</t>
  </si>
  <si>
    <t>吉野　　穣</t>
  </si>
  <si>
    <t>自営業</t>
  </si>
  <si>
    <t>開催年度</t>
  </si>
  <si>
    <t>２</t>
  </si>
  <si>
    <t>３</t>
  </si>
  <si>
    <t>４</t>
  </si>
  <si>
    <t>職業</t>
  </si>
  <si>
    <t>郡市名</t>
  </si>
  <si>
    <t>順位</t>
  </si>
  <si>
    <t>５</t>
  </si>
  <si>
    <t>378-0053</t>
  </si>
  <si>
    <t>0278-23-1116</t>
  </si>
  <si>
    <t>0278-22-9856</t>
  </si>
  <si>
    <t>大会名</t>
  </si>
  <si>
    <t>参加申込書（入力・E-mail用）⇒右側が入力の例です</t>
  </si>
  <si>
    <t>　本大会、および上位大会のプログラム、報道発表、ウェブページ、記録集における氏名、学校名、学年、写真等の掲載については参加生徒および保護者の同意を得ています。
　なお、同意が得られない生徒は、別添によりその旨を報告します。</t>
  </si>
  <si>
    <t>上記の生徒の大会の参加を許可する。</t>
  </si>
  <si>
    <t>学校対抗</t>
  </si>
  <si>
    <t>校長名</t>
  </si>
  <si>
    <t>学校電話</t>
  </si>
  <si>
    <t>学校FAX</t>
  </si>
  <si>
    <t>No</t>
  </si>
  <si>
    <t>深津　知宏</t>
  </si>
  <si>
    <t>１</t>
  </si>
  <si>
    <t>山田　吉秀</t>
  </si>
  <si>
    <t>公務員</t>
  </si>
  <si>
    <t>ﾌﾞﾛｯｸ</t>
  </si>
  <si>
    <t>郡市名　　　　(中体連組織名)</t>
  </si>
  <si>
    <t>１</t>
  </si>
  <si>
    <t>５</t>
  </si>
  <si>
    <t>６</t>
  </si>
  <si>
    <t>７</t>
  </si>
  <si>
    <t>８</t>
  </si>
  <si>
    <t>学校住所１(区・郡・市名)</t>
  </si>
  <si>
    <t>申込日　　　（記入日）</t>
  </si>
  <si>
    <t>推薦</t>
  </si>
  <si>
    <t>予選順位</t>
  </si>
  <si>
    <t>ﾌﾞﾛｯｸ</t>
  </si>
  <si>
    <t>職印</t>
  </si>
  <si>
    <t>シングルス</t>
  </si>
  <si>
    <t>○</t>
  </si>
  <si>
    <t>Ａ</t>
  </si>
  <si>
    <t>Ｄ</t>
  </si>
  <si>
    <t>ダブルス</t>
  </si>
  <si>
    <t>２</t>
  </si>
  <si>
    <t>３</t>
  </si>
  <si>
    <t>４</t>
  </si>
  <si>
    <t>学校対抗選手</t>
  </si>
  <si>
    <t>学校対抗　　　アドバイザー</t>
  </si>
  <si>
    <t>２</t>
  </si>
  <si>
    <t>３</t>
  </si>
  <si>
    <t>４</t>
  </si>
  <si>
    <t>シングルス　　出場選手</t>
  </si>
  <si>
    <t>ダブルス　　　出場選手</t>
  </si>
  <si>
    <t>２</t>
  </si>
  <si>
    <t>３</t>
  </si>
  <si>
    <t>４</t>
  </si>
  <si>
    <t>角田　達彦</t>
  </si>
  <si>
    <t>真下　祐一</t>
  </si>
  <si>
    <t>石井　　巧</t>
  </si>
  <si>
    <t>金子　涼佑</t>
  </si>
  <si>
    <t>Ｂ</t>
  </si>
  <si>
    <t>Ｃ</t>
  </si>
  <si>
    <t>山田　一翔</t>
  </si>
  <si>
    <t>川田　　洵</t>
  </si>
  <si>
    <t>外山　恭平</t>
  </si>
  <si>
    <t>木村　裕希</t>
  </si>
  <si>
    <t>塩野　敦哉</t>
  </si>
  <si>
    <t>林　　貴史</t>
  </si>
  <si>
    <t>団体予選順位</t>
  </si>
  <si>
    <t>No</t>
  </si>
  <si>
    <t>６</t>
  </si>
  <si>
    <t>７</t>
  </si>
  <si>
    <t>８</t>
  </si>
  <si>
    <t>アドバイザー氏名</t>
  </si>
  <si>
    <t>職業</t>
  </si>
  <si>
    <t>２</t>
  </si>
  <si>
    <t>　学校対抗において、校長が認める外部指導者がアドバイザーとしてベンチに入る場合には、氏名をお書きください。また、その方は、シングルスとダブルスにおいても、アドバイスできるものとします。（１名）</t>
  </si>
  <si>
    <t>シングルスの監督が、学校対抗と違う場合にはお書き下さい</t>
  </si>
  <si>
    <t>ダブルスの監督が、学校対抗やシングルスと違う場合にはお書き下さい</t>
  </si>
  <si>
    <t>シングルスの　アドバイザー</t>
  </si>
  <si>
    <t>ダブルスの　　アドバイザー</t>
  </si>
  <si>
    <t>林　　武史</t>
  </si>
  <si>
    <t>　シングルスのアドバイザーは、どの選手のアドバイスを行ってもよいものとします。ただし、シングルスの出場選手の数を超えて登録はできません。また、団体戦と兼ねる方は、記入しなくても結構です。</t>
  </si>
  <si>
    <t>　ダブルスのアドバイザーは、どの組のアドバイスを行ってもよいものとします。ただし、ダブルスに出場する組を超えて登録はできません。また、団体、シングルスと兼ねる方は、記入しなくても結構です。</t>
  </si>
  <si>
    <t>９</t>
  </si>
  <si>
    <t>１０</t>
  </si>
  <si>
    <t>１０</t>
  </si>
  <si>
    <t>前橋</t>
  </si>
  <si>
    <t>高崎</t>
  </si>
  <si>
    <t>桐生みどり</t>
  </si>
  <si>
    <t>伊勢崎佐波</t>
  </si>
  <si>
    <t>太田</t>
  </si>
  <si>
    <t>沼田</t>
  </si>
  <si>
    <t>館林</t>
  </si>
  <si>
    <t>渋川北群馬</t>
  </si>
  <si>
    <t>藤岡多野</t>
  </si>
  <si>
    <t>富岡甘楽</t>
  </si>
  <si>
    <t>安中</t>
  </si>
  <si>
    <t>吾妻</t>
  </si>
  <si>
    <t>利根</t>
  </si>
  <si>
    <t>邑楽</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</si>
</sst>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F800]dddd\,\ mmmm\ dd\,\ yyyy"/>
  </numFmts>
  <fonts count="53">
    <font>
      <sz val="11"/>
      <name val="ＭＳ Ｐゴシック"/>
      <family val="3"/>
    </font>
    <font>
      <sz val="6"/>
      <name val="ＭＳ Ｐゴシック"/>
      <family val="3"/>
    </font>
    <font>
      <sz val="11"/>
      <name val="ＭＳ 明朝"/>
      <family val="1"/>
    </font>
    <font>
      <sz val="16"/>
      <name val="ＭＳ 明朝"/>
      <family val="1"/>
    </font>
    <font>
      <sz val="12"/>
      <name val="ＭＳ 明朝"/>
      <family val="1"/>
    </font>
    <font>
      <sz val="10"/>
      <name val="ＭＳ 明朝"/>
      <family val="1"/>
    </font>
    <font>
      <u val="single"/>
      <sz val="11"/>
      <color indexed="12"/>
      <name val="ＭＳ Ｐゴシック"/>
      <family val="3"/>
    </font>
    <font>
      <b/>
      <sz val="9"/>
      <name val="ＭＳ Ｐゴシック"/>
      <family val="3"/>
    </font>
    <font>
      <u val="single"/>
      <sz val="11"/>
      <color indexed="36"/>
      <name val="ＭＳ Ｐゴシック"/>
      <family val="3"/>
    </font>
    <font>
      <sz val="14"/>
      <name val="ＭＳ 明朝"/>
      <family val="1"/>
    </font>
    <font>
      <sz val="18"/>
      <name val="ＭＳ 明朝"/>
      <family val="1"/>
    </font>
    <font>
      <sz val="11"/>
      <name val="ＭＳ ゴシック"/>
      <family val="3"/>
    </font>
    <font>
      <sz val="10"/>
      <color indexed="13"/>
      <name val="ＭＳ 明朝"/>
      <family val="1"/>
    </font>
    <font>
      <sz val="10"/>
      <color indexed="45"/>
      <name val="ＭＳ 明朝"/>
      <family val="1"/>
    </font>
    <font>
      <sz val="8"/>
      <name val="ＭＳ 明朝"/>
      <family val="1"/>
    </font>
    <font>
      <sz val="9"/>
      <name val="ＭＳ 明朝"/>
      <family val="1"/>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medium"/>
      <right style="medium"/>
      <top style="medium"/>
      <bottom style="mediu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8" fillId="0" borderId="0" applyNumberFormat="0" applyFill="0" applyBorder="0" applyAlignment="0" applyProtection="0"/>
    <xf numFmtId="0" fontId="51" fillId="32" borderId="0" applyNumberFormat="0" applyBorder="0" applyAlignment="0" applyProtection="0"/>
  </cellStyleXfs>
  <cellXfs count="171">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center" vertical="center"/>
    </xf>
    <xf numFmtId="176" fontId="2" fillId="0" borderId="0" xfId="0" applyNumberFormat="1" applyFont="1" applyAlignment="1">
      <alignment horizontal="distributed"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vertical="center"/>
    </xf>
    <xf numFmtId="0" fontId="5" fillId="0" borderId="10"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protection locked="0"/>
    </xf>
    <xf numFmtId="0" fontId="9" fillId="0" borderId="0" xfId="0" applyFont="1" applyAlignment="1">
      <alignment vertical="center"/>
    </xf>
    <xf numFmtId="176" fontId="2" fillId="0" borderId="0" xfId="0" applyNumberFormat="1" applyFont="1" applyAlignment="1">
      <alignment horizontal="center" vertical="center"/>
    </xf>
    <xf numFmtId="0" fontId="2" fillId="0" borderId="0" xfId="0" applyFont="1" applyAlignment="1">
      <alignment horizontal="right" vertical="center"/>
    </xf>
    <xf numFmtId="176" fontId="2" fillId="0" borderId="0" xfId="0" applyNumberFormat="1" applyFont="1" applyAlignment="1">
      <alignment vertical="center"/>
    </xf>
    <xf numFmtId="0" fontId="2" fillId="0" borderId="0" xfId="0" applyFont="1" applyAlignment="1">
      <alignment vertical="center" wrapText="1"/>
    </xf>
    <xf numFmtId="176" fontId="2" fillId="0" borderId="0" xfId="0" applyNumberFormat="1" applyFont="1" applyAlignment="1">
      <alignment horizontal="left" vertical="center"/>
    </xf>
    <xf numFmtId="176" fontId="4" fillId="0" borderId="0" xfId="0" applyNumberFormat="1" applyFont="1" applyAlignment="1">
      <alignment horizontal="center" vertical="center"/>
    </xf>
    <xf numFmtId="176" fontId="2" fillId="0" borderId="0" xfId="0" applyNumberFormat="1" applyFont="1" applyAlignment="1">
      <alignment horizontal="right" vertical="center"/>
    </xf>
    <xf numFmtId="0" fontId="10" fillId="0" borderId="0" xfId="0" applyFont="1" applyAlignment="1">
      <alignment vertical="center"/>
    </xf>
    <xf numFmtId="0" fontId="5" fillId="0" borderId="12" xfId="0" applyFont="1" applyBorder="1" applyAlignment="1" applyProtection="1">
      <alignment horizontal="center" vertical="center"/>
      <protection locked="0"/>
    </xf>
    <xf numFmtId="0" fontId="9" fillId="0" borderId="0" xfId="0" applyFont="1" applyAlignment="1" applyProtection="1">
      <alignment vertical="center"/>
      <protection/>
    </xf>
    <xf numFmtId="0" fontId="5" fillId="0" borderId="0" xfId="0" applyFont="1" applyAlignment="1" applyProtection="1">
      <alignment vertical="center"/>
      <protection/>
    </xf>
    <xf numFmtId="0" fontId="5" fillId="33" borderId="10"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176" fontId="5" fillId="34" borderId="13" xfId="0" applyNumberFormat="1" applyFont="1" applyFill="1" applyBorder="1" applyAlignment="1" applyProtection="1">
      <alignment horizontal="center" vertical="center"/>
      <protection/>
    </xf>
    <xf numFmtId="176"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0" xfId="0" applyFont="1" applyFill="1" applyAlignment="1" applyProtection="1">
      <alignment horizontal="center" vertical="center" wrapText="1"/>
      <protection/>
    </xf>
    <xf numFmtId="0" fontId="5" fillId="33" borderId="0" xfId="0" applyFont="1" applyFill="1" applyAlignment="1" applyProtection="1">
      <alignment vertical="center"/>
      <protection/>
    </xf>
    <xf numFmtId="0" fontId="5" fillId="35" borderId="10"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shrinkToFit="1"/>
      <protection/>
    </xf>
    <xf numFmtId="0" fontId="5" fillId="34" borderId="13" xfId="0" applyFont="1" applyFill="1" applyBorder="1" applyAlignment="1" applyProtection="1">
      <alignment horizontal="center" vertical="center" shrinkToFit="1"/>
      <protection/>
    </xf>
    <xf numFmtId="0" fontId="5" fillId="34" borderId="0" xfId="0" applyFont="1" applyFill="1" applyBorder="1" applyAlignment="1" applyProtection="1">
      <alignment horizontal="center" vertical="center" shrinkToFit="1"/>
      <protection/>
    </xf>
    <xf numFmtId="0" fontId="5" fillId="34" borderId="0"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5" borderId="12"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0" fontId="12" fillId="33" borderId="0" xfId="0" applyFont="1" applyFill="1" applyAlignment="1" applyProtection="1">
      <alignment vertical="center"/>
      <protection/>
    </xf>
    <xf numFmtId="0" fontId="5" fillId="35" borderId="10" xfId="0" applyFont="1" applyFill="1" applyBorder="1" applyAlignment="1" applyProtection="1">
      <alignment horizontal="center" vertical="center"/>
      <protection/>
    </xf>
    <xf numFmtId="0" fontId="5" fillId="34" borderId="0" xfId="0" applyFont="1" applyFill="1" applyBorder="1" applyAlignment="1" applyProtection="1">
      <alignment vertical="center" wrapText="1"/>
      <protection/>
    </xf>
    <xf numFmtId="0" fontId="5" fillId="34" borderId="10" xfId="0" applyFont="1" applyFill="1" applyBorder="1" applyAlignment="1" applyProtection="1">
      <alignment horizontal="center" vertical="center"/>
      <protection/>
    </xf>
    <xf numFmtId="0" fontId="5" fillId="33" borderId="10" xfId="0" applyFont="1" applyFill="1" applyBorder="1" applyAlignment="1" applyProtection="1" quotePrefix="1">
      <alignment horizontal="center" vertical="center"/>
      <protection/>
    </xf>
    <xf numFmtId="0" fontId="5" fillId="34" borderId="12" xfId="0" applyFont="1" applyFill="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Fill="1" applyAlignment="1" applyProtection="1">
      <alignment vertical="center"/>
      <protection/>
    </xf>
    <xf numFmtId="0" fontId="9" fillId="0" borderId="0" xfId="0" applyFont="1" applyFill="1" applyAlignment="1" applyProtection="1">
      <alignment vertical="center"/>
      <protection/>
    </xf>
    <xf numFmtId="0" fontId="13" fillId="34" borderId="13" xfId="0" applyFont="1" applyFill="1" applyBorder="1" applyAlignment="1" applyProtection="1">
      <alignment horizontal="center" vertical="center"/>
      <protection/>
    </xf>
    <xf numFmtId="0" fontId="2" fillId="0" borderId="14" xfId="0" applyFont="1" applyBorder="1" applyAlignment="1">
      <alignment horizontal="center" vertical="center"/>
    </xf>
    <xf numFmtId="0" fontId="2" fillId="0" borderId="0" xfId="0" applyFont="1" applyBorder="1" applyAlignment="1" quotePrefix="1">
      <alignment horizontal="center" vertical="center"/>
    </xf>
    <xf numFmtId="0" fontId="2" fillId="0" borderId="0" xfId="0" applyFont="1" applyBorder="1" applyAlignment="1">
      <alignment horizontal="left" vertical="center" wrapText="1"/>
    </xf>
    <xf numFmtId="0" fontId="2" fillId="0" borderId="12" xfId="0" applyFont="1" applyBorder="1" applyAlignment="1">
      <alignment horizontal="center" vertical="center"/>
    </xf>
    <xf numFmtId="0" fontId="5" fillId="33" borderId="10" xfId="0" applyFont="1" applyFill="1" applyBorder="1" applyAlignment="1" applyProtection="1">
      <alignment horizontal="center" vertical="center" shrinkToFit="1"/>
      <protection locked="0"/>
    </xf>
    <xf numFmtId="0" fontId="5" fillId="33" borderId="12"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5" fillId="33" borderId="13" xfId="0" applyFont="1" applyFill="1" applyBorder="1" applyAlignment="1" applyProtection="1">
      <alignment vertical="center"/>
      <protection/>
    </xf>
    <xf numFmtId="0" fontId="5" fillId="33" borderId="13" xfId="0" applyFont="1" applyFill="1" applyBorder="1" applyAlignment="1" applyProtection="1">
      <alignment vertical="center"/>
      <protection locked="0"/>
    </xf>
    <xf numFmtId="0" fontId="5" fillId="0" borderId="15" xfId="0" applyFont="1" applyFill="1" applyBorder="1" applyAlignment="1" applyProtection="1">
      <alignment horizontal="center" vertical="center"/>
      <protection locked="0"/>
    </xf>
    <xf numFmtId="0" fontId="5" fillId="34" borderId="13"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locked="0"/>
    </xf>
    <xf numFmtId="0" fontId="5" fillId="34" borderId="13" xfId="0" applyFont="1" applyFill="1" applyBorder="1" applyAlignment="1" applyProtection="1">
      <alignment vertical="center"/>
      <protection/>
    </xf>
    <xf numFmtId="0" fontId="5" fillId="35" borderId="15" xfId="0" applyFont="1" applyFill="1" applyBorder="1" applyAlignment="1" applyProtection="1">
      <alignment horizontal="center" vertical="center"/>
      <protection/>
    </xf>
    <xf numFmtId="0" fontId="10" fillId="0" borderId="16" xfId="0" applyFont="1" applyBorder="1" applyAlignment="1">
      <alignment horizontal="center" vertical="center"/>
    </xf>
    <xf numFmtId="0" fontId="5" fillId="34" borderId="12" xfId="0" applyFont="1" applyFill="1" applyBorder="1" applyAlignment="1" applyProtection="1">
      <alignment horizontal="center" vertical="center"/>
      <protection locked="0"/>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2" fillId="0" borderId="10" xfId="0" applyFont="1" applyBorder="1" applyAlignment="1" quotePrefix="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5" fillId="0" borderId="10" xfId="0" applyFont="1" applyBorder="1" applyAlignment="1">
      <alignment horizontal="center" vertical="center"/>
    </xf>
    <xf numFmtId="177" fontId="5" fillId="0" borderId="10" xfId="0" applyNumberFormat="1" applyFont="1" applyBorder="1" applyAlignment="1" applyProtection="1">
      <alignment horizontal="center" vertical="center"/>
      <protection locked="0"/>
    </xf>
    <xf numFmtId="177" fontId="5" fillId="35" borderId="10" xfId="0" applyNumberFormat="1" applyFont="1" applyFill="1" applyBorder="1" applyAlignment="1" applyProtection="1">
      <alignment horizontal="center" vertical="center"/>
      <protection/>
    </xf>
    <xf numFmtId="49" fontId="0" fillId="0" borderId="10" xfId="0" applyNumberFormat="1" applyBorder="1" applyAlignment="1">
      <alignment horizontal="center" vertical="center"/>
    </xf>
    <xf numFmtId="0" fontId="5" fillId="0" borderId="11"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protection/>
    </xf>
    <xf numFmtId="0" fontId="5" fillId="33" borderId="17" xfId="0" applyFont="1" applyFill="1" applyBorder="1" applyAlignment="1" applyProtection="1">
      <alignment horizontal="center" vertical="center"/>
      <protection/>
    </xf>
    <xf numFmtId="0" fontId="5" fillId="33" borderId="18" xfId="0" applyFont="1" applyFill="1" applyBorder="1" applyAlignment="1" applyProtection="1">
      <alignment horizontal="center" vertical="center"/>
      <protection/>
    </xf>
    <xf numFmtId="0" fontId="5" fillId="0" borderId="11"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35" borderId="11" xfId="0" applyFont="1" applyFill="1" applyBorder="1" applyAlignment="1" applyProtection="1">
      <alignment horizontal="center" vertical="center"/>
      <protection/>
    </xf>
    <xf numFmtId="0" fontId="5" fillId="35" borderId="17" xfId="0" applyFont="1" applyFill="1" applyBorder="1" applyAlignment="1" applyProtection="1">
      <alignment horizontal="center" vertical="center"/>
      <protection/>
    </xf>
    <xf numFmtId="0" fontId="5" fillId="35" borderId="18"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3" borderId="15" xfId="0" applyFont="1" applyFill="1" applyBorder="1" applyAlignment="1" applyProtection="1" quotePrefix="1">
      <alignment horizontal="center" vertical="center"/>
      <protection/>
    </xf>
    <xf numFmtId="0" fontId="5" fillId="33" borderId="12" xfId="0" applyFont="1" applyFill="1" applyBorder="1" applyAlignment="1" applyProtection="1" quotePrefix="1">
      <alignment horizontal="center" vertical="center"/>
      <protection/>
    </xf>
    <xf numFmtId="0" fontId="5" fillId="0" borderId="15"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4" fillId="34" borderId="19"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wrapText="1"/>
      <protection/>
    </xf>
    <xf numFmtId="0" fontId="9" fillId="34" borderId="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xf>
    <xf numFmtId="0" fontId="5" fillId="35" borderId="15" xfId="0" applyFont="1" applyFill="1" applyBorder="1" applyAlignment="1" applyProtection="1">
      <alignment horizontal="center" vertical="center"/>
      <protection locked="0"/>
    </xf>
    <xf numFmtId="0" fontId="5" fillId="35" borderId="12" xfId="0" applyFont="1" applyFill="1" applyBorder="1" applyAlignment="1" applyProtection="1">
      <alignment horizontal="center" vertical="center"/>
      <protection locked="0"/>
    </xf>
    <xf numFmtId="0" fontId="5" fillId="34" borderId="15" xfId="0" applyFont="1" applyFill="1" applyBorder="1" applyAlignment="1" applyProtection="1" quotePrefix="1">
      <alignment horizontal="center" vertical="center" wrapText="1"/>
      <protection/>
    </xf>
    <xf numFmtId="0" fontId="5" fillId="34" borderId="12"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protection/>
    </xf>
    <xf numFmtId="0" fontId="5" fillId="34" borderId="15" xfId="0" applyFont="1" applyFill="1" applyBorder="1" applyAlignment="1" applyProtection="1">
      <alignment horizontal="center" vertical="center" wrapText="1"/>
      <protection/>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2" fillId="0" borderId="11" xfId="0" applyFont="1" applyBorder="1" applyAlignment="1" quotePrefix="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14" fillId="0" borderId="23" xfId="0" applyFont="1" applyBorder="1" applyAlignment="1">
      <alignment horizontal="left" vertical="center" wrapText="1"/>
    </xf>
    <xf numFmtId="0" fontId="14" fillId="0" borderId="25" xfId="0" applyFont="1" applyBorder="1" applyAlignment="1">
      <alignment horizontal="left" vertical="center" wrapText="1"/>
    </xf>
    <xf numFmtId="0" fontId="14" fillId="0" borderId="24" xfId="0" applyFont="1" applyBorder="1" applyAlignment="1">
      <alignment horizontal="left" vertical="center" wrapText="1"/>
    </xf>
    <xf numFmtId="0" fontId="14" fillId="0" borderId="13" xfId="0" applyFont="1" applyBorder="1" applyAlignment="1">
      <alignment horizontal="left" vertical="center" wrapText="1"/>
    </xf>
    <xf numFmtId="0" fontId="14" fillId="0" borderId="0" xfId="0" applyFont="1" applyBorder="1" applyAlignment="1">
      <alignment horizontal="left" vertical="center" wrapText="1"/>
    </xf>
    <xf numFmtId="0" fontId="14" fillId="0" borderId="26" xfId="0" applyFont="1" applyBorder="1" applyAlignment="1">
      <alignment horizontal="left" vertical="center" wrapText="1"/>
    </xf>
    <xf numFmtId="0" fontId="14" fillId="0" borderId="14" xfId="0" applyFont="1" applyBorder="1" applyAlignment="1">
      <alignment horizontal="left" vertical="center" wrapText="1"/>
    </xf>
    <xf numFmtId="0" fontId="14" fillId="0" borderId="19" xfId="0" applyFont="1" applyBorder="1" applyAlignment="1">
      <alignment horizontal="left" vertical="center" wrapText="1"/>
    </xf>
    <xf numFmtId="0" fontId="14" fillId="0" borderId="27" xfId="0" applyFont="1" applyBorder="1" applyAlignment="1">
      <alignment horizontal="left" vertical="center" wrapText="1"/>
    </xf>
    <xf numFmtId="176" fontId="4" fillId="0" borderId="0" xfId="0" applyNumberFormat="1" applyFont="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28" xfId="0" applyFont="1" applyBorder="1" applyAlignment="1">
      <alignment horizontal="center" vertical="center"/>
    </xf>
    <xf numFmtId="0" fontId="2" fillId="0" borderId="15" xfId="0" applyFont="1" applyBorder="1" applyAlignment="1" quotePrefix="1">
      <alignment horizontal="center" vertical="center"/>
    </xf>
    <xf numFmtId="0" fontId="2" fillId="0" borderId="12" xfId="0" applyFont="1" applyBorder="1" applyAlignment="1" quotePrefix="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horizontal="center" vertical="center"/>
    </xf>
    <xf numFmtId="0" fontId="15" fillId="0" borderId="23" xfId="0" applyFont="1" applyBorder="1" applyAlignment="1">
      <alignment horizontal="left" vertical="center" wrapText="1"/>
    </xf>
    <xf numFmtId="0" fontId="15" fillId="0" borderId="25" xfId="0" applyFont="1" applyBorder="1" applyAlignment="1">
      <alignment horizontal="left" vertical="center" wrapText="1"/>
    </xf>
    <xf numFmtId="0" fontId="15" fillId="0" borderId="24" xfId="0" applyFont="1" applyBorder="1" applyAlignment="1">
      <alignment horizontal="left" vertical="center" wrapText="1"/>
    </xf>
    <xf numFmtId="0" fontId="15" fillId="0" borderId="14" xfId="0" applyFont="1" applyBorder="1" applyAlignment="1">
      <alignment horizontal="left" vertical="center" wrapText="1"/>
    </xf>
    <xf numFmtId="0" fontId="15" fillId="0" borderId="19" xfId="0" applyFont="1" applyBorder="1" applyAlignment="1">
      <alignment horizontal="left" vertical="center" wrapText="1"/>
    </xf>
    <xf numFmtId="0" fontId="15" fillId="0" borderId="27" xfId="0" applyFont="1" applyBorder="1" applyAlignment="1">
      <alignment horizontal="left" vertical="center" wrapText="1"/>
    </xf>
    <xf numFmtId="0" fontId="3" fillId="0" borderId="0" xfId="0" applyFont="1" applyAlignment="1">
      <alignment horizontal="center"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25" xfId="0" applyFont="1" applyBorder="1" applyAlignment="1">
      <alignment horizontal="center" vertical="center"/>
    </xf>
    <xf numFmtId="177" fontId="2" fillId="0" borderId="0" xfId="0" applyNumberFormat="1" applyFont="1" applyAlignment="1">
      <alignment horizontal="distributed" vertical="center"/>
    </xf>
    <xf numFmtId="0" fontId="4" fillId="0" borderId="23" xfId="0" applyFont="1" applyBorder="1" applyAlignment="1">
      <alignment horizontal="left" vertical="center"/>
    </xf>
    <xf numFmtId="0" fontId="4" fillId="0" borderId="25" xfId="0" applyFont="1" applyBorder="1" applyAlignment="1">
      <alignment horizontal="left" vertical="center"/>
    </xf>
    <xf numFmtId="0" fontId="4" fillId="0" borderId="24" xfId="0" applyFont="1" applyBorder="1" applyAlignment="1">
      <alignment horizontal="left" vertical="center"/>
    </xf>
    <xf numFmtId="0" fontId="2" fillId="0" borderId="0" xfId="0" applyFont="1" applyAlignment="1">
      <alignment vertical="center" wrapText="1"/>
    </xf>
    <xf numFmtId="0" fontId="2" fillId="0" borderId="17" xfId="0" applyFont="1" applyBorder="1" applyAlignment="1" quotePrefix="1">
      <alignment horizontal="center" vertical="center"/>
    </xf>
    <xf numFmtId="0" fontId="2" fillId="0" borderId="18" xfId="0" applyFont="1" applyBorder="1" applyAlignment="1" quotePrefix="1">
      <alignment horizontal="center" vertical="center"/>
    </xf>
    <xf numFmtId="0" fontId="9" fillId="0" borderId="17" xfId="0" applyFont="1" applyBorder="1" applyAlignment="1">
      <alignment horizontal="left" vertical="center"/>
    </xf>
    <xf numFmtId="0" fontId="9" fillId="0" borderId="18"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9525</xdr:rowOff>
    </xdr:from>
    <xdr:to>
      <xdr:col>3</xdr:col>
      <xdr:colOff>0</xdr:colOff>
      <xdr:row>6</xdr:row>
      <xdr:rowOff>295275</xdr:rowOff>
    </xdr:to>
    <xdr:sp>
      <xdr:nvSpPr>
        <xdr:cNvPr id="1" name="AutoShape 14"/>
        <xdr:cNvSpPr>
          <a:spLocks/>
        </xdr:cNvSpPr>
      </xdr:nvSpPr>
      <xdr:spPr>
        <a:xfrm>
          <a:off x="2876550" y="1533525"/>
          <a:ext cx="0" cy="590550"/>
        </a:xfrm>
        <a:prstGeom prst="downArrow">
          <a:avLst>
            <a:gd name="adj" fmla="val 50000"/>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8</xdr:col>
      <xdr:colOff>142875</xdr:colOff>
      <xdr:row>0</xdr:row>
      <xdr:rowOff>0</xdr:rowOff>
    </xdr:to>
    <xdr:sp>
      <xdr:nvSpPr>
        <xdr:cNvPr id="2" name="AutoShape 13"/>
        <xdr:cNvSpPr>
          <a:spLocks/>
        </xdr:cNvSpPr>
      </xdr:nvSpPr>
      <xdr:spPr>
        <a:xfrm>
          <a:off x="2876550" y="0"/>
          <a:ext cx="1838325" cy="0"/>
        </a:xfrm>
        <a:prstGeom prst="rightArrow">
          <a:avLst>
            <a:gd name="adj1" fmla="val 50000"/>
            <a:gd name="adj2" fmla="val -23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73"/>
  <sheetViews>
    <sheetView showGridLines="0" tabSelected="1" zoomScalePageLayoutView="0" workbookViewId="0" topLeftCell="B1">
      <selection activeCell="C42" sqref="C42"/>
    </sheetView>
  </sheetViews>
  <sheetFormatPr defaultColWidth="9.00390625" defaultRowHeight="24" customHeight="1"/>
  <cols>
    <col min="1" max="1" width="6.25390625" style="22" hidden="1" customWidth="1"/>
    <col min="2" max="2" width="13.125" style="22" customWidth="1"/>
    <col min="3" max="3" width="24.625" style="53" customWidth="1"/>
    <col min="4" max="7" width="5.125" style="22" customWidth="1"/>
    <col min="8" max="8" width="3.625" style="54" customWidth="1"/>
    <col min="9" max="9" width="4.875" style="54" hidden="1" customWidth="1"/>
    <col min="10" max="10" width="13.125" style="22" customWidth="1"/>
    <col min="11" max="11" width="24.625" style="53" customWidth="1"/>
    <col min="12" max="14" width="5.125" style="53" customWidth="1"/>
    <col min="15" max="15" width="5.125" style="22" customWidth="1"/>
    <col min="16" max="16384" width="9.00390625" style="22" customWidth="1"/>
  </cols>
  <sheetData>
    <row r="1" spans="2:15" s="21" customFormat="1" ht="24" customHeight="1">
      <c r="B1" s="107" t="s">
        <v>45</v>
      </c>
      <c r="C1" s="107"/>
      <c r="D1" s="108"/>
      <c r="E1" s="108"/>
      <c r="F1" s="108"/>
      <c r="G1" s="108"/>
      <c r="H1" s="108"/>
      <c r="I1" s="55"/>
      <c r="J1" s="109" t="s">
        <v>20</v>
      </c>
      <c r="K1" s="109"/>
      <c r="L1" s="109"/>
      <c r="M1" s="109"/>
      <c r="N1" s="109"/>
      <c r="O1" s="109"/>
    </row>
    <row r="2" spans="1:15" ht="24" customHeight="1">
      <c r="A2" s="22">
        <v>1</v>
      </c>
      <c r="B2" s="23" t="s">
        <v>65</v>
      </c>
      <c r="C2" s="83"/>
      <c r="D2" s="24"/>
      <c r="E2" s="25"/>
      <c r="F2" s="25"/>
      <c r="G2" s="25"/>
      <c r="H2" s="25"/>
      <c r="I2" s="54">
        <v>1</v>
      </c>
      <c r="J2" s="26" t="s">
        <v>65</v>
      </c>
      <c r="K2" s="84">
        <v>43667</v>
      </c>
      <c r="L2" s="27"/>
      <c r="M2" s="28"/>
      <c r="N2" s="28"/>
      <c r="O2" s="29"/>
    </row>
    <row r="3" spans="1:15" ht="24" customHeight="1">
      <c r="A3" s="22">
        <v>2</v>
      </c>
      <c r="B3" s="30" t="s">
        <v>33</v>
      </c>
      <c r="C3" s="85"/>
      <c r="D3" s="31"/>
      <c r="E3" s="31"/>
      <c r="F3" s="31"/>
      <c r="G3" s="31"/>
      <c r="H3" s="31"/>
      <c r="I3" s="54">
        <v>2</v>
      </c>
      <c r="J3" s="26" t="str">
        <f aca="true" t="shared" si="0" ref="J3:J28">B3</f>
        <v>開催年度</v>
      </c>
      <c r="K3" s="33">
        <v>2019</v>
      </c>
      <c r="L3" s="34"/>
      <c r="M3" s="29"/>
      <c r="N3" s="29"/>
      <c r="O3" s="29"/>
    </row>
    <row r="4" spans="1:15" ht="24" customHeight="1">
      <c r="A4" s="22">
        <v>3</v>
      </c>
      <c r="B4" s="35" t="s">
        <v>44</v>
      </c>
      <c r="C4" s="8"/>
      <c r="D4" s="36"/>
      <c r="E4" s="37"/>
      <c r="F4" s="37"/>
      <c r="G4" s="37"/>
      <c r="H4" s="32"/>
      <c r="I4" s="54">
        <v>3</v>
      </c>
      <c r="J4" s="38" t="str">
        <f t="shared" si="0"/>
        <v>大会名</v>
      </c>
      <c r="K4" s="39" t="s">
        <v>25</v>
      </c>
      <c r="L4" s="40"/>
      <c r="M4" s="41"/>
      <c r="N4" s="41"/>
      <c r="O4" s="42"/>
    </row>
    <row r="5" spans="1:15" ht="24" customHeight="1">
      <c r="A5" s="22">
        <v>4</v>
      </c>
      <c r="B5" s="43" t="s">
        <v>14</v>
      </c>
      <c r="C5" s="9"/>
      <c r="D5" s="32"/>
      <c r="E5" s="32"/>
      <c r="F5" s="32"/>
      <c r="G5" s="32"/>
      <c r="H5" s="32"/>
      <c r="I5" s="54">
        <v>4</v>
      </c>
      <c r="J5" s="38" t="str">
        <f t="shared" si="0"/>
        <v>男女の別</v>
      </c>
      <c r="K5" s="44" t="s">
        <v>21</v>
      </c>
      <c r="L5" s="45"/>
      <c r="M5" s="42"/>
      <c r="N5" s="42"/>
      <c r="O5" s="46"/>
    </row>
    <row r="6" spans="1:15" ht="24" customHeight="1">
      <c r="A6" s="22">
        <v>5</v>
      </c>
      <c r="B6" s="23" t="s">
        <v>58</v>
      </c>
      <c r="C6" s="8"/>
      <c r="D6" s="32"/>
      <c r="E6" s="32"/>
      <c r="F6" s="32"/>
      <c r="G6" s="32"/>
      <c r="H6" s="32"/>
      <c r="I6" s="54">
        <v>5</v>
      </c>
      <c r="J6" s="38" t="str">
        <f t="shared" si="0"/>
        <v>郡市名　　　　(中体連組織名)</v>
      </c>
      <c r="K6" s="39" t="s">
        <v>26</v>
      </c>
      <c r="L6" s="40"/>
      <c r="M6" s="41"/>
      <c r="N6" s="41"/>
      <c r="O6" s="46"/>
    </row>
    <row r="7" spans="1:15" ht="24" customHeight="1">
      <c r="A7" s="22">
        <v>6</v>
      </c>
      <c r="B7" s="23" t="s">
        <v>22</v>
      </c>
      <c r="C7" s="8"/>
      <c r="D7" s="47" t="str">
        <f>IF(RIGHT(C7,1)="県","立　",IF(RIGHT(C7,1)="市","立　",IF(RIGHT(C7,1)="町","立　",IF(RIGHT(C7,1)="村","立　","　"))))</f>
        <v>　</v>
      </c>
      <c r="E7" s="47"/>
      <c r="F7" s="47"/>
      <c r="G7" s="47"/>
      <c r="H7" s="32"/>
      <c r="I7" s="54">
        <v>6</v>
      </c>
      <c r="J7" s="38" t="str">
        <f t="shared" si="0"/>
        <v>学校設立団体名</v>
      </c>
      <c r="K7" s="48" t="s">
        <v>27</v>
      </c>
      <c r="L7" s="56" t="str">
        <f>IF(RIGHT(K7,1)="県","立　",IF(RIGHT(K7,1)="市","立　",IF(RIGHT(K7,1)="町","立　",IF(RIGHT(K7,1)="村","立　","　"))))</f>
        <v>立　</v>
      </c>
      <c r="M7" s="42"/>
      <c r="N7" s="42"/>
      <c r="O7" s="46"/>
    </row>
    <row r="8" spans="1:15" ht="24" customHeight="1">
      <c r="A8" s="22">
        <v>7</v>
      </c>
      <c r="B8" s="35" t="s">
        <v>15</v>
      </c>
      <c r="C8" s="8"/>
      <c r="D8" s="32"/>
      <c r="E8" s="32"/>
      <c r="F8" s="32"/>
      <c r="G8" s="32"/>
      <c r="H8" s="32"/>
      <c r="I8" s="54">
        <v>7</v>
      </c>
      <c r="J8" s="38" t="str">
        <f t="shared" si="0"/>
        <v>中学校名</v>
      </c>
      <c r="K8" s="48" t="s">
        <v>29</v>
      </c>
      <c r="L8" s="45"/>
      <c r="M8" s="42"/>
      <c r="N8" s="42"/>
      <c r="O8" s="46"/>
    </row>
    <row r="9" spans="1:15" ht="24" customHeight="1">
      <c r="A9" s="22">
        <v>8</v>
      </c>
      <c r="B9" s="35" t="s">
        <v>16</v>
      </c>
      <c r="C9" s="8"/>
      <c r="D9" s="32"/>
      <c r="E9" s="32"/>
      <c r="F9" s="32"/>
      <c r="G9" s="32"/>
      <c r="H9" s="32"/>
      <c r="I9" s="54">
        <v>8</v>
      </c>
      <c r="J9" s="38" t="str">
        <f t="shared" si="0"/>
        <v>学校長名</v>
      </c>
      <c r="K9" s="48" t="s">
        <v>28</v>
      </c>
      <c r="L9" s="45"/>
      <c r="M9" s="42"/>
      <c r="N9" s="42"/>
      <c r="O9" s="46"/>
    </row>
    <row r="10" spans="1:15" ht="24" customHeight="1">
      <c r="A10" s="22">
        <v>9</v>
      </c>
      <c r="B10" s="23" t="s">
        <v>24</v>
      </c>
      <c r="C10" s="82"/>
      <c r="D10" s="32"/>
      <c r="E10" s="32"/>
      <c r="F10" s="32"/>
      <c r="G10" s="32"/>
      <c r="H10" s="32"/>
      <c r="I10" s="54">
        <v>9</v>
      </c>
      <c r="J10" s="38" t="str">
        <f t="shared" si="0"/>
        <v>学校郵便番号</v>
      </c>
      <c r="K10" s="48" t="s">
        <v>41</v>
      </c>
      <c r="L10" s="45"/>
      <c r="M10" s="42"/>
      <c r="N10" s="42"/>
      <c r="O10" s="46"/>
    </row>
    <row r="11" spans="1:15" ht="24" customHeight="1">
      <c r="A11" s="22">
        <v>10</v>
      </c>
      <c r="B11" s="23" t="s">
        <v>64</v>
      </c>
      <c r="C11" s="8"/>
      <c r="D11" s="32"/>
      <c r="E11" s="32"/>
      <c r="F11" s="32"/>
      <c r="G11" s="32"/>
      <c r="H11" s="32"/>
      <c r="I11" s="54">
        <v>10</v>
      </c>
      <c r="J11" s="38" t="str">
        <f t="shared" si="0"/>
        <v>学校住所１(区・郡・市名)</v>
      </c>
      <c r="K11" s="48" t="s">
        <v>27</v>
      </c>
      <c r="L11" s="45"/>
      <c r="M11" s="42"/>
      <c r="N11" s="42"/>
      <c r="O11" s="46"/>
    </row>
    <row r="12" spans="1:15" ht="24" customHeight="1">
      <c r="A12" s="22">
        <v>11</v>
      </c>
      <c r="B12" s="23" t="s">
        <v>17</v>
      </c>
      <c r="C12" s="8"/>
      <c r="D12" s="32"/>
      <c r="E12" s="32"/>
      <c r="F12" s="32"/>
      <c r="G12" s="32"/>
      <c r="H12" s="32"/>
      <c r="I12" s="54">
        <v>11</v>
      </c>
      <c r="J12" s="38" t="str">
        <f t="shared" si="0"/>
        <v>学校住所２
（上記以降）</v>
      </c>
      <c r="K12" s="48" t="s">
        <v>30</v>
      </c>
      <c r="L12" s="45"/>
      <c r="M12" s="42"/>
      <c r="N12" s="42"/>
      <c r="O12" s="49"/>
    </row>
    <row r="13" spans="1:15" ht="24" customHeight="1">
      <c r="A13" s="22">
        <v>12</v>
      </c>
      <c r="B13" s="35" t="s">
        <v>18</v>
      </c>
      <c r="C13" s="8"/>
      <c r="D13" s="32"/>
      <c r="E13" s="32"/>
      <c r="F13" s="32"/>
      <c r="G13" s="32"/>
      <c r="H13" s="32"/>
      <c r="I13" s="54">
        <v>12</v>
      </c>
      <c r="J13" s="38" t="str">
        <f t="shared" si="0"/>
        <v>学校電話番号</v>
      </c>
      <c r="K13" s="48" t="s">
        <v>42</v>
      </c>
      <c r="L13" s="45"/>
      <c r="M13" s="42"/>
      <c r="N13" s="42"/>
      <c r="O13" s="46"/>
    </row>
    <row r="14" spans="1:15" ht="24" customHeight="1">
      <c r="A14" s="22">
        <v>13</v>
      </c>
      <c r="B14" s="35" t="s">
        <v>19</v>
      </c>
      <c r="C14" s="8"/>
      <c r="D14" s="32"/>
      <c r="E14" s="32"/>
      <c r="F14" s="32"/>
      <c r="G14" s="32"/>
      <c r="H14" s="32"/>
      <c r="I14" s="54">
        <v>13</v>
      </c>
      <c r="J14" s="38" t="str">
        <f t="shared" si="0"/>
        <v>学校ＦＡＸ</v>
      </c>
      <c r="K14" s="48" t="s">
        <v>43</v>
      </c>
      <c r="L14" s="45"/>
      <c r="M14" s="42"/>
      <c r="N14" s="42"/>
      <c r="O14" s="46"/>
    </row>
    <row r="15" spans="1:15" ht="24" customHeight="1">
      <c r="A15" s="22">
        <v>14</v>
      </c>
      <c r="B15" s="35" t="s">
        <v>2</v>
      </c>
      <c r="C15" s="8"/>
      <c r="D15" s="36"/>
      <c r="E15" s="37"/>
      <c r="F15" s="37"/>
      <c r="G15" s="37"/>
      <c r="H15" s="32"/>
      <c r="I15" s="54">
        <v>14</v>
      </c>
      <c r="J15" s="38" t="str">
        <f t="shared" si="0"/>
        <v>監督名</v>
      </c>
      <c r="K15" s="48" t="s">
        <v>53</v>
      </c>
      <c r="L15" s="45"/>
      <c r="M15" s="42"/>
      <c r="N15" s="42"/>
      <c r="O15" s="42"/>
    </row>
    <row r="16" spans="1:15" ht="24" customHeight="1">
      <c r="A16" s="22">
        <v>15</v>
      </c>
      <c r="B16" s="35" t="s">
        <v>100</v>
      </c>
      <c r="C16" s="8"/>
      <c r="D16" s="36"/>
      <c r="E16" s="37"/>
      <c r="F16" s="37"/>
      <c r="G16" s="37"/>
      <c r="H16" s="32"/>
      <c r="I16" s="54">
        <v>15</v>
      </c>
      <c r="J16" s="38" t="str">
        <f t="shared" si="0"/>
        <v>団体予選順位</v>
      </c>
      <c r="K16" s="44">
        <v>1</v>
      </c>
      <c r="L16" s="45"/>
      <c r="M16" s="42"/>
      <c r="N16" s="42"/>
      <c r="O16" s="42"/>
    </row>
    <row r="17" spans="1:15" ht="24" customHeight="1">
      <c r="A17" s="22">
        <v>16</v>
      </c>
      <c r="B17" s="35" t="s">
        <v>78</v>
      </c>
      <c r="C17" s="61" t="s">
        <v>7</v>
      </c>
      <c r="D17" s="35" t="s">
        <v>8</v>
      </c>
      <c r="E17" s="37"/>
      <c r="F17" s="37"/>
      <c r="G17" s="37"/>
      <c r="H17" s="32"/>
      <c r="I17" s="54">
        <v>16</v>
      </c>
      <c r="J17" s="38" t="str">
        <f t="shared" si="0"/>
        <v>学校対抗選手</v>
      </c>
      <c r="K17" s="38" t="str">
        <f>C17</f>
        <v>氏名</v>
      </c>
      <c r="L17" s="26" t="str">
        <f>D17</f>
        <v>学年</v>
      </c>
      <c r="M17" s="42"/>
      <c r="N17" s="42"/>
      <c r="O17" s="42"/>
    </row>
    <row r="18" spans="1:15" ht="24" customHeight="1">
      <c r="A18" s="22">
        <v>17</v>
      </c>
      <c r="B18" s="35" t="s">
        <v>3</v>
      </c>
      <c r="C18" s="8"/>
      <c r="D18" s="63"/>
      <c r="E18" s="37"/>
      <c r="F18" s="37"/>
      <c r="G18" s="37"/>
      <c r="H18" s="32"/>
      <c r="I18" s="54">
        <v>17</v>
      </c>
      <c r="J18" s="38" t="str">
        <f t="shared" si="0"/>
        <v>主将</v>
      </c>
      <c r="K18" s="48" t="s">
        <v>94</v>
      </c>
      <c r="L18" s="48">
        <v>3</v>
      </c>
      <c r="M18" s="42"/>
      <c r="N18" s="42"/>
      <c r="O18" s="42"/>
    </row>
    <row r="19" spans="1:15" ht="24" customHeight="1">
      <c r="A19" s="22">
        <v>18</v>
      </c>
      <c r="B19" s="51" t="s">
        <v>4</v>
      </c>
      <c r="C19" s="8"/>
      <c r="D19" s="63"/>
      <c r="E19" s="37"/>
      <c r="F19" s="37"/>
      <c r="G19" s="37"/>
      <c r="H19" s="32"/>
      <c r="I19" s="54">
        <v>18</v>
      </c>
      <c r="J19" s="38" t="str">
        <f t="shared" si="0"/>
        <v>２</v>
      </c>
      <c r="K19" s="48" t="s">
        <v>90</v>
      </c>
      <c r="L19" s="48">
        <v>3</v>
      </c>
      <c r="M19" s="42"/>
      <c r="N19" s="42"/>
      <c r="O19" s="42"/>
    </row>
    <row r="20" spans="1:15" ht="24" customHeight="1">
      <c r="A20" s="22">
        <v>19</v>
      </c>
      <c r="B20" s="51" t="s">
        <v>5</v>
      </c>
      <c r="C20" s="8"/>
      <c r="D20" s="63"/>
      <c r="E20" s="37"/>
      <c r="F20" s="37"/>
      <c r="G20" s="37"/>
      <c r="H20" s="32"/>
      <c r="I20" s="54">
        <v>19</v>
      </c>
      <c r="J20" s="38" t="str">
        <f t="shared" si="0"/>
        <v>３</v>
      </c>
      <c r="K20" s="48" t="s">
        <v>89</v>
      </c>
      <c r="L20" s="48">
        <v>3</v>
      </c>
      <c r="M20" s="42"/>
      <c r="N20" s="42"/>
      <c r="O20" s="42"/>
    </row>
    <row r="21" spans="1:15" ht="24" customHeight="1">
      <c r="A21" s="22">
        <v>20</v>
      </c>
      <c r="B21" s="51" t="s">
        <v>6</v>
      </c>
      <c r="C21" s="8"/>
      <c r="D21" s="63"/>
      <c r="E21" s="37"/>
      <c r="F21" s="37"/>
      <c r="G21" s="37"/>
      <c r="H21" s="32"/>
      <c r="I21" s="54">
        <v>20</v>
      </c>
      <c r="J21" s="38" t="str">
        <f t="shared" si="0"/>
        <v>４</v>
      </c>
      <c r="K21" s="48" t="s">
        <v>88</v>
      </c>
      <c r="L21" s="48">
        <v>2</v>
      </c>
      <c r="M21" s="42"/>
      <c r="N21" s="42"/>
      <c r="O21" s="42"/>
    </row>
    <row r="22" spans="1:15" ht="24" customHeight="1">
      <c r="A22" s="22">
        <v>21</v>
      </c>
      <c r="B22" s="51" t="s">
        <v>10</v>
      </c>
      <c r="C22" s="8"/>
      <c r="D22" s="63"/>
      <c r="E22" s="37"/>
      <c r="F22" s="37"/>
      <c r="G22" s="37"/>
      <c r="H22" s="32"/>
      <c r="I22" s="54">
        <v>21</v>
      </c>
      <c r="J22" s="38" t="str">
        <f t="shared" si="0"/>
        <v>５</v>
      </c>
      <c r="K22" s="48" t="s">
        <v>95</v>
      </c>
      <c r="L22" s="48">
        <v>3</v>
      </c>
      <c r="M22" s="42"/>
      <c r="N22" s="42"/>
      <c r="O22" s="42"/>
    </row>
    <row r="23" spans="1:15" ht="24" customHeight="1">
      <c r="A23" s="22">
        <v>22</v>
      </c>
      <c r="B23" s="51" t="s">
        <v>11</v>
      </c>
      <c r="C23" s="8"/>
      <c r="D23" s="63"/>
      <c r="E23" s="37"/>
      <c r="F23" s="37"/>
      <c r="G23" s="37"/>
      <c r="H23" s="32"/>
      <c r="I23" s="54">
        <v>22</v>
      </c>
      <c r="J23" s="38" t="str">
        <f t="shared" si="0"/>
        <v>６</v>
      </c>
      <c r="K23" s="48" t="s">
        <v>91</v>
      </c>
      <c r="L23" s="48">
        <v>1</v>
      </c>
      <c r="M23" s="42"/>
      <c r="N23" s="42"/>
      <c r="O23" s="42"/>
    </row>
    <row r="24" spans="1:15" ht="24" customHeight="1">
      <c r="A24" s="22">
        <v>23</v>
      </c>
      <c r="B24" s="51" t="s">
        <v>12</v>
      </c>
      <c r="C24" s="8"/>
      <c r="D24" s="63"/>
      <c r="E24" s="37"/>
      <c r="F24" s="37"/>
      <c r="G24" s="37"/>
      <c r="H24" s="32"/>
      <c r="I24" s="54">
        <v>23</v>
      </c>
      <c r="J24" s="38" t="str">
        <f t="shared" si="0"/>
        <v>７</v>
      </c>
      <c r="K24" s="48" t="s">
        <v>96</v>
      </c>
      <c r="L24" s="48">
        <v>3</v>
      </c>
      <c r="M24" s="42"/>
      <c r="N24" s="42"/>
      <c r="O24" s="42"/>
    </row>
    <row r="25" spans="1:15" ht="24" customHeight="1">
      <c r="A25" s="22">
        <v>24</v>
      </c>
      <c r="B25" s="51" t="s">
        <v>13</v>
      </c>
      <c r="C25" s="8"/>
      <c r="D25" s="63"/>
      <c r="E25" s="37"/>
      <c r="F25" s="37"/>
      <c r="G25" s="37"/>
      <c r="H25" s="32"/>
      <c r="I25" s="54">
        <v>24</v>
      </c>
      <c r="J25" s="38" t="str">
        <f t="shared" si="0"/>
        <v>８</v>
      </c>
      <c r="K25" s="48" t="s">
        <v>97</v>
      </c>
      <c r="L25" s="48">
        <v>3</v>
      </c>
      <c r="M25" s="42"/>
      <c r="N25" s="42"/>
      <c r="O25" s="42"/>
    </row>
    <row r="26" spans="1:15" ht="24" customHeight="1">
      <c r="A26" s="22">
        <v>25</v>
      </c>
      <c r="B26" s="51" t="s">
        <v>116</v>
      </c>
      <c r="C26" s="8"/>
      <c r="D26" s="63"/>
      <c r="E26" s="37"/>
      <c r="F26" s="37"/>
      <c r="G26" s="37"/>
      <c r="H26" s="32"/>
      <c r="I26" s="54">
        <v>25</v>
      </c>
      <c r="J26" s="38" t="str">
        <f t="shared" si="0"/>
        <v>９</v>
      </c>
      <c r="K26" s="48" t="s">
        <v>98</v>
      </c>
      <c r="L26" s="48">
        <v>2</v>
      </c>
      <c r="M26" s="42"/>
      <c r="N26" s="42"/>
      <c r="O26" s="42"/>
    </row>
    <row r="27" spans="1:15" ht="24" customHeight="1">
      <c r="A27" s="22">
        <v>26</v>
      </c>
      <c r="B27" s="51" t="s">
        <v>118</v>
      </c>
      <c r="C27" s="8"/>
      <c r="D27" s="68"/>
      <c r="E27" s="37"/>
      <c r="F27" s="37"/>
      <c r="G27" s="37"/>
      <c r="H27" s="32"/>
      <c r="I27" s="54">
        <v>26</v>
      </c>
      <c r="J27" s="38" t="str">
        <f t="shared" si="0"/>
        <v>１０</v>
      </c>
      <c r="K27" s="48" t="s">
        <v>99</v>
      </c>
      <c r="L27" s="72">
        <v>1</v>
      </c>
      <c r="M27" s="42"/>
      <c r="N27" s="42"/>
      <c r="O27" s="42"/>
    </row>
    <row r="28" spans="1:15" ht="24" customHeight="1">
      <c r="A28" s="22">
        <v>27</v>
      </c>
      <c r="B28" s="23" t="s">
        <v>79</v>
      </c>
      <c r="C28" s="8"/>
      <c r="D28" s="35" t="s">
        <v>37</v>
      </c>
      <c r="E28" s="110"/>
      <c r="F28" s="110"/>
      <c r="G28" s="110"/>
      <c r="H28" s="32"/>
      <c r="I28" s="54">
        <v>27</v>
      </c>
      <c r="J28" s="38" t="str">
        <f t="shared" si="0"/>
        <v>学校対抗　　　アドバイザー</v>
      </c>
      <c r="K28" s="48" t="s">
        <v>31</v>
      </c>
      <c r="L28" s="50" t="s">
        <v>37</v>
      </c>
      <c r="M28" s="111" t="s">
        <v>32</v>
      </c>
      <c r="N28" s="111"/>
      <c r="O28" s="111"/>
    </row>
    <row r="29" spans="1:15" ht="24" customHeight="1">
      <c r="A29" s="22">
        <v>28</v>
      </c>
      <c r="B29" s="89" t="s">
        <v>109</v>
      </c>
      <c r="C29" s="90"/>
      <c r="D29" s="35" t="s">
        <v>7</v>
      </c>
      <c r="E29" s="86"/>
      <c r="F29" s="87"/>
      <c r="G29" s="88"/>
      <c r="H29" s="32"/>
      <c r="I29" s="54">
        <v>28</v>
      </c>
      <c r="J29" s="116" t="str">
        <f>B29</f>
        <v>シングルスの監督が、学校対抗と違う場合にはお書き下さい</v>
      </c>
      <c r="K29" s="117"/>
      <c r="L29" s="50" t="str">
        <f>D29</f>
        <v>氏名</v>
      </c>
      <c r="M29" s="97"/>
      <c r="N29" s="98"/>
      <c r="O29" s="99"/>
    </row>
    <row r="30" spans="1:15" ht="24" customHeight="1">
      <c r="A30" s="22">
        <v>29</v>
      </c>
      <c r="B30" s="23" t="s">
        <v>83</v>
      </c>
      <c r="C30" s="23" t="s">
        <v>7</v>
      </c>
      <c r="D30" s="35" t="s">
        <v>8</v>
      </c>
      <c r="E30" s="23" t="s">
        <v>67</v>
      </c>
      <c r="F30" s="35" t="s">
        <v>68</v>
      </c>
      <c r="G30" s="35" t="s">
        <v>66</v>
      </c>
      <c r="H30" s="37"/>
      <c r="I30" s="54">
        <v>29</v>
      </c>
      <c r="J30" s="38" t="str">
        <f aca="true" t="shared" si="1" ref="J30:J43">B30</f>
        <v>シングルス　　出場選手</v>
      </c>
      <c r="K30" s="50" t="s">
        <v>7</v>
      </c>
      <c r="L30" s="50" t="s">
        <v>8</v>
      </c>
      <c r="M30" s="26" t="s">
        <v>67</v>
      </c>
      <c r="N30" s="50" t="s">
        <v>57</v>
      </c>
      <c r="O30" s="50" t="s">
        <v>66</v>
      </c>
    </row>
    <row r="31" spans="1:15" ht="24" customHeight="1">
      <c r="A31" s="22">
        <v>30</v>
      </c>
      <c r="B31" s="51" t="s">
        <v>54</v>
      </c>
      <c r="C31" s="10"/>
      <c r="D31" s="10"/>
      <c r="E31" s="10"/>
      <c r="F31" s="10"/>
      <c r="G31" s="10"/>
      <c r="H31" s="37"/>
      <c r="I31" s="54">
        <v>30</v>
      </c>
      <c r="J31" s="38" t="str">
        <f t="shared" si="1"/>
        <v>１</v>
      </c>
      <c r="K31" s="48" t="s">
        <v>89</v>
      </c>
      <c r="L31" s="48">
        <v>3</v>
      </c>
      <c r="M31" s="48">
        <v>1</v>
      </c>
      <c r="N31" s="48" t="s">
        <v>72</v>
      </c>
      <c r="O31" s="48"/>
    </row>
    <row r="32" spans="1:15" ht="24" customHeight="1">
      <c r="A32" s="22">
        <v>31</v>
      </c>
      <c r="B32" s="51" t="s">
        <v>4</v>
      </c>
      <c r="C32" s="10"/>
      <c r="D32" s="10"/>
      <c r="E32" s="10"/>
      <c r="F32" s="10"/>
      <c r="G32" s="10"/>
      <c r="H32" s="37"/>
      <c r="I32" s="54">
        <v>31</v>
      </c>
      <c r="J32" s="38" t="str">
        <f t="shared" si="1"/>
        <v>２</v>
      </c>
      <c r="K32" s="48" t="s">
        <v>88</v>
      </c>
      <c r="L32" s="48">
        <v>2</v>
      </c>
      <c r="M32" s="48">
        <v>2</v>
      </c>
      <c r="N32" s="48" t="s">
        <v>72</v>
      </c>
      <c r="O32" s="48" t="s">
        <v>71</v>
      </c>
    </row>
    <row r="33" spans="1:15" ht="24" customHeight="1">
      <c r="A33" s="22">
        <v>32</v>
      </c>
      <c r="B33" s="51" t="s">
        <v>5</v>
      </c>
      <c r="C33" s="10"/>
      <c r="D33" s="10"/>
      <c r="E33" s="10"/>
      <c r="F33" s="10"/>
      <c r="G33" s="10"/>
      <c r="H33" s="37"/>
      <c r="I33" s="54">
        <v>32</v>
      </c>
      <c r="J33" s="38" t="str">
        <f t="shared" si="1"/>
        <v>３</v>
      </c>
      <c r="K33" s="48" t="s">
        <v>91</v>
      </c>
      <c r="L33" s="48">
        <v>1</v>
      </c>
      <c r="M33" s="48">
        <v>5</v>
      </c>
      <c r="N33" s="48" t="s">
        <v>73</v>
      </c>
      <c r="O33" s="48"/>
    </row>
    <row r="34" spans="1:15" ht="24" customHeight="1">
      <c r="A34" s="22">
        <v>33</v>
      </c>
      <c r="B34" s="51" t="s">
        <v>6</v>
      </c>
      <c r="C34" s="10"/>
      <c r="D34" s="10"/>
      <c r="E34" s="10"/>
      <c r="F34" s="10"/>
      <c r="G34" s="10"/>
      <c r="H34" s="37"/>
      <c r="I34" s="54">
        <v>33</v>
      </c>
      <c r="J34" s="38" t="str">
        <f t="shared" si="1"/>
        <v>４</v>
      </c>
      <c r="K34" s="48"/>
      <c r="L34" s="48"/>
      <c r="M34" s="48"/>
      <c r="N34" s="48"/>
      <c r="O34" s="48"/>
    </row>
    <row r="35" spans="1:15" ht="24" customHeight="1">
      <c r="A35" s="22">
        <v>34</v>
      </c>
      <c r="B35" s="51" t="s">
        <v>10</v>
      </c>
      <c r="C35" s="10"/>
      <c r="D35" s="10"/>
      <c r="E35" s="10"/>
      <c r="F35" s="10"/>
      <c r="G35" s="10"/>
      <c r="H35" s="37"/>
      <c r="I35" s="54">
        <v>34</v>
      </c>
      <c r="J35" s="38" t="str">
        <f t="shared" si="1"/>
        <v>５</v>
      </c>
      <c r="K35" s="48"/>
      <c r="L35" s="48"/>
      <c r="M35" s="48"/>
      <c r="N35" s="48"/>
      <c r="O35" s="48"/>
    </row>
    <row r="36" spans="1:15" ht="24" customHeight="1">
      <c r="A36" s="22">
        <v>35</v>
      </c>
      <c r="B36" s="51" t="s">
        <v>11</v>
      </c>
      <c r="C36" s="10"/>
      <c r="D36" s="10"/>
      <c r="E36" s="10"/>
      <c r="F36" s="10"/>
      <c r="G36" s="10"/>
      <c r="H36" s="37"/>
      <c r="I36" s="54">
        <v>35</v>
      </c>
      <c r="J36" s="38" t="str">
        <f t="shared" si="1"/>
        <v>６</v>
      </c>
      <c r="K36" s="48"/>
      <c r="L36" s="48"/>
      <c r="M36" s="48"/>
      <c r="N36" s="48"/>
      <c r="O36" s="48"/>
    </row>
    <row r="37" spans="1:15" ht="24" customHeight="1">
      <c r="A37" s="22">
        <v>36</v>
      </c>
      <c r="B37" s="51" t="s">
        <v>12</v>
      </c>
      <c r="C37" s="10"/>
      <c r="D37" s="10"/>
      <c r="E37" s="10"/>
      <c r="F37" s="10"/>
      <c r="G37" s="10"/>
      <c r="H37" s="37"/>
      <c r="I37" s="54">
        <v>36</v>
      </c>
      <c r="J37" s="38" t="str">
        <f t="shared" si="1"/>
        <v>７</v>
      </c>
      <c r="K37" s="48"/>
      <c r="L37" s="48"/>
      <c r="M37" s="48"/>
      <c r="N37" s="48"/>
      <c r="O37" s="48"/>
    </row>
    <row r="38" spans="1:15" ht="24" customHeight="1">
      <c r="A38" s="22">
        <v>37</v>
      </c>
      <c r="B38" s="51" t="s">
        <v>13</v>
      </c>
      <c r="C38" s="10"/>
      <c r="D38" s="10"/>
      <c r="E38" s="10"/>
      <c r="F38" s="10"/>
      <c r="G38" s="10"/>
      <c r="H38" s="37"/>
      <c r="I38" s="54">
        <v>37</v>
      </c>
      <c r="J38" s="38" t="str">
        <f t="shared" si="1"/>
        <v>８</v>
      </c>
      <c r="K38" s="48"/>
      <c r="L38" s="48"/>
      <c r="M38" s="48"/>
      <c r="N38" s="48"/>
      <c r="O38" s="48"/>
    </row>
    <row r="39" spans="1:15" ht="24" customHeight="1">
      <c r="A39" s="22">
        <v>38</v>
      </c>
      <c r="B39" s="23" t="s">
        <v>111</v>
      </c>
      <c r="C39" s="43" t="s">
        <v>7</v>
      </c>
      <c r="D39" s="91" t="s">
        <v>37</v>
      </c>
      <c r="E39" s="92"/>
      <c r="F39" s="92"/>
      <c r="G39" s="93"/>
      <c r="H39" s="37"/>
      <c r="I39" s="54">
        <v>38</v>
      </c>
      <c r="J39" s="38" t="str">
        <f t="shared" si="1"/>
        <v>シングルスの　アドバイザー</v>
      </c>
      <c r="K39" s="52" t="str">
        <f>C39</f>
        <v>氏名</v>
      </c>
      <c r="L39" s="118" t="str">
        <f>D39</f>
        <v>職業</v>
      </c>
      <c r="M39" s="118"/>
      <c r="N39" s="118"/>
      <c r="O39" s="118"/>
    </row>
    <row r="40" spans="1:15" ht="24" customHeight="1">
      <c r="A40" s="22">
        <v>39</v>
      </c>
      <c r="B40" s="51" t="s">
        <v>54</v>
      </c>
      <c r="C40" s="20"/>
      <c r="D40" s="94"/>
      <c r="E40" s="95"/>
      <c r="F40" s="95"/>
      <c r="G40" s="96"/>
      <c r="H40" s="37"/>
      <c r="I40" s="54">
        <v>39</v>
      </c>
      <c r="J40" s="38" t="str">
        <f t="shared" si="1"/>
        <v>１</v>
      </c>
      <c r="K40" s="44" t="s">
        <v>55</v>
      </c>
      <c r="L40" s="111" t="s">
        <v>56</v>
      </c>
      <c r="M40" s="111"/>
      <c r="N40" s="111"/>
      <c r="O40" s="111"/>
    </row>
    <row r="41" spans="1:15" ht="24" customHeight="1">
      <c r="A41" s="22">
        <v>40</v>
      </c>
      <c r="B41" s="51" t="s">
        <v>4</v>
      </c>
      <c r="C41" s="20"/>
      <c r="D41" s="94"/>
      <c r="E41" s="95"/>
      <c r="F41" s="95"/>
      <c r="G41" s="96"/>
      <c r="H41" s="37"/>
      <c r="I41" s="54">
        <v>40</v>
      </c>
      <c r="J41" s="38" t="str">
        <f t="shared" si="1"/>
        <v>２</v>
      </c>
      <c r="K41" s="44"/>
      <c r="L41" s="111"/>
      <c r="M41" s="111"/>
      <c r="N41" s="111"/>
      <c r="O41" s="111"/>
    </row>
    <row r="42" spans="1:15" ht="24" customHeight="1">
      <c r="A42" s="22">
        <v>41</v>
      </c>
      <c r="B42" s="51" t="s">
        <v>5</v>
      </c>
      <c r="C42" s="20"/>
      <c r="D42" s="94"/>
      <c r="E42" s="95"/>
      <c r="F42" s="95"/>
      <c r="G42" s="96"/>
      <c r="H42" s="37"/>
      <c r="I42" s="54">
        <v>41</v>
      </c>
      <c r="J42" s="38" t="str">
        <f t="shared" si="1"/>
        <v>３</v>
      </c>
      <c r="K42" s="44"/>
      <c r="L42" s="111"/>
      <c r="M42" s="111"/>
      <c r="N42" s="111"/>
      <c r="O42" s="111"/>
    </row>
    <row r="43" spans="1:15" ht="24" customHeight="1">
      <c r="A43" s="22">
        <v>42</v>
      </c>
      <c r="B43" s="51" t="s">
        <v>6</v>
      </c>
      <c r="C43" s="20"/>
      <c r="D43" s="94"/>
      <c r="E43" s="95"/>
      <c r="F43" s="95"/>
      <c r="G43" s="96"/>
      <c r="H43" s="37"/>
      <c r="I43" s="54">
        <v>42</v>
      </c>
      <c r="J43" s="38" t="str">
        <f t="shared" si="1"/>
        <v>４</v>
      </c>
      <c r="K43" s="44"/>
      <c r="L43" s="111"/>
      <c r="M43" s="111"/>
      <c r="N43" s="111"/>
      <c r="O43" s="111"/>
    </row>
    <row r="44" spans="1:15" ht="24" customHeight="1">
      <c r="A44" s="22">
        <v>43</v>
      </c>
      <c r="B44" s="89" t="s">
        <v>110</v>
      </c>
      <c r="C44" s="90"/>
      <c r="D44" s="35" t="s">
        <v>7</v>
      </c>
      <c r="E44" s="86"/>
      <c r="F44" s="87"/>
      <c r="G44" s="88"/>
      <c r="H44" s="37"/>
      <c r="I44" s="54">
        <v>43</v>
      </c>
      <c r="J44" s="116" t="str">
        <f>B44</f>
        <v>ダブルスの監督が、学校対抗やシングルスと違う場合にはお書き下さい</v>
      </c>
      <c r="K44" s="117"/>
      <c r="L44" s="50" t="str">
        <f>D44</f>
        <v>氏名</v>
      </c>
      <c r="M44" s="111" t="s">
        <v>113</v>
      </c>
      <c r="N44" s="111"/>
      <c r="O44" s="111"/>
    </row>
    <row r="45" spans="1:15" ht="24" customHeight="1">
      <c r="A45" s="22">
        <v>44</v>
      </c>
      <c r="B45" s="23" t="s">
        <v>84</v>
      </c>
      <c r="C45" s="62" t="s">
        <v>7</v>
      </c>
      <c r="D45" s="64" t="s">
        <v>8</v>
      </c>
      <c r="E45" s="64" t="s">
        <v>39</v>
      </c>
      <c r="F45" s="64" t="s">
        <v>68</v>
      </c>
      <c r="G45" s="65"/>
      <c r="H45" s="37"/>
      <c r="I45" s="54">
        <v>44</v>
      </c>
      <c r="J45" s="38" t="str">
        <f>B45</f>
        <v>ダブルス　　　出場選手</v>
      </c>
      <c r="K45" s="38" t="str">
        <f>C45</f>
        <v>氏名</v>
      </c>
      <c r="L45" s="74" t="s">
        <v>8</v>
      </c>
      <c r="M45" s="74" t="s">
        <v>39</v>
      </c>
      <c r="N45" s="74" t="s">
        <v>68</v>
      </c>
      <c r="O45" s="69"/>
    </row>
    <row r="46" spans="1:15" ht="24" customHeight="1">
      <c r="A46" s="22">
        <v>45</v>
      </c>
      <c r="B46" s="103" t="s">
        <v>54</v>
      </c>
      <c r="C46" s="20"/>
      <c r="D46" s="10"/>
      <c r="E46" s="105"/>
      <c r="F46" s="105"/>
      <c r="G46" s="65"/>
      <c r="H46" s="37"/>
      <c r="I46" s="54">
        <v>45</v>
      </c>
      <c r="J46" s="119" t="str">
        <f>B46</f>
        <v>１</v>
      </c>
      <c r="K46" s="44" t="s">
        <v>89</v>
      </c>
      <c r="L46" s="70">
        <v>3</v>
      </c>
      <c r="M46" s="112">
        <v>1</v>
      </c>
      <c r="N46" s="112" t="s">
        <v>92</v>
      </c>
      <c r="O46" s="69"/>
    </row>
    <row r="47" spans="1:15" ht="24" customHeight="1">
      <c r="A47" s="22">
        <v>46</v>
      </c>
      <c r="B47" s="104"/>
      <c r="C47" s="20"/>
      <c r="D47" s="10"/>
      <c r="E47" s="106"/>
      <c r="F47" s="106"/>
      <c r="G47" s="65"/>
      <c r="H47" s="37"/>
      <c r="I47" s="54">
        <v>46</v>
      </c>
      <c r="J47" s="115"/>
      <c r="K47" s="44" t="s">
        <v>88</v>
      </c>
      <c r="L47" s="70">
        <v>2</v>
      </c>
      <c r="M47" s="113"/>
      <c r="N47" s="113"/>
      <c r="O47" s="69"/>
    </row>
    <row r="48" spans="1:15" ht="24" customHeight="1">
      <c r="A48" s="22">
        <v>47</v>
      </c>
      <c r="B48" s="103" t="s">
        <v>80</v>
      </c>
      <c r="C48" s="20"/>
      <c r="D48" s="10"/>
      <c r="E48" s="105"/>
      <c r="F48" s="105"/>
      <c r="G48" s="65"/>
      <c r="H48" s="37"/>
      <c r="I48" s="54">
        <v>47</v>
      </c>
      <c r="J48" s="114" t="s">
        <v>85</v>
      </c>
      <c r="K48" s="44" t="s">
        <v>90</v>
      </c>
      <c r="L48" s="70">
        <v>3</v>
      </c>
      <c r="M48" s="112">
        <v>4</v>
      </c>
      <c r="N48" s="112" t="s">
        <v>93</v>
      </c>
      <c r="O48" s="69"/>
    </row>
    <row r="49" spans="1:15" ht="24" customHeight="1">
      <c r="A49" s="22">
        <v>48</v>
      </c>
      <c r="B49" s="104"/>
      <c r="C49" s="20"/>
      <c r="D49" s="10"/>
      <c r="E49" s="106"/>
      <c r="F49" s="106"/>
      <c r="G49" s="65"/>
      <c r="H49" s="37"/>
      <c r="I49" s="54">
        <v>48</v>
      </c>
      <c r="J49" s="115"/>
      <c r="K49" s="44" t="s">
        <v>91</v>
      </c>
      <c r="L49" s="70">
        <v>1</v>
      </c>
      <c r="M49" s="113"/>
      <c r="N49" s="113"/>
      <c r="O49" s="69"/>
    </row>
    <row r="50" spans="1:15" ht="24" customHeight="1">
      <c r="A50" s="22">
        <v>49</v>
      </c>
      <c r="B50" s="103" t="s">
        <v>81</v>
      </c>
      <c r="C50" s="20"/>
      <c r="D50" s="10"/>
      <c r="E50" s="105"/>
      <c r="F50" s="105"/>
      <c r="G50" s="65"/>
      <c r="H50" s="37"/>
      <c r="I50" s="54">
        <v>49</v>
      </c>
      <c r="J50" s="114" t="s">
        <v>86</v>
      </c>
      <c r="K50" s="44"/>
      <c r="L50" s="70"/>
      <c r="M50" s="112"/>
      <c r="N50" s="112"/>
      <c r="O50" s="69"/>
    </row>
    <row r="51" spans="1:15" ht="24" customHeight="1">
      <c r="A51" s="22">
        <v>50</v>
      </c>
      <c r="B51" s="104"/>
      <c r="C51" s="20"/>
      <c r="D51" s="10"/>
      <c r="E51" s="106"/>
      <c r="F51" s="106"/>
      <c r="G51" s="65"/>
      <c r="H51" s="37"/>
      <c r="I51" s="54">
        <v>50</v>
      </c>
      <c r="J51" s="115"/>
      <c r="K51" s="44"/>
      <c r="L51" s="70"/>
      <c r="M51" s="113"/>
      <c r="N51" s="113"/>
      <c r="O51" s="69"/>
    </row>
    <row r="52" spans="1:15" ht="24" customHeight="1">
      <c r="A52" s="22">
        <v>51</v>
      </c>
      <c r="B52" s="103" t="s">
        <v>82</v>
      </c>
      <c r="C52" s="20"/>
      <c r="D52" s="10"/>
      <c r="E52" s="105"/>
      <c r="F52" s="105"/>
      <c r="G52" s="65"/>
      <c r="H52" s="37"/>
      <c r="I52" s="54">
        <v>51</v>
      </c>
      <c r="J52" s="114" t="s">
        <v>87</v>
      </c>
      <c r="K52" s="44"/>
      <c r="L52" s="70"/>
      <c r="M52" s="112"/>
      <c r="N52" s="112"/>
      <c r="O52" s="69"/>
    </row>
    <row r="53" spans="1:15" ht="24" customHeight="1">
      <c r="A53" s="22">
        <v>52</v>
      </c>
      <c r="B53" s="104"/>
      <c r="C53" s="20"/>
      <c r="D53" s="10"/>
      <c r="E53" s="106"/>
      <c r="F53" s="106"/>
      <c r="G53" s="65"/>
      <c r="H53" s="37"/>
      <c r="I53" s="54">
        <v>52</v>
      </c>
      <c r="J53" s="115"/>
      <c r="K53" s="44"/>
      <c r="L53" s="70"/>
      <c r="M53" s="113"/>
      <c r="N53" s="113"/>
      <c r="O53" s="69"/>
    </row>
    <row r="54" spans="1:15" ht="24" customHeight="1">
      <c r="A54" s="22">
        <v>53</v>
      </c>
      <c r="B54" s="23" t="s">
        <v>112</v>
      </c>
      <c r="C54" s="43" t="s">
        <v>7</v>
      </c>
      <c r="D54" s="91" t="s">
        <v>37</v>
      </c>
      <c r="E54" s="92"/>
      <c r="F54" s="92"/>
      <c r="G54" s="66"/>
      <c r="H54" s="37"/>
      <c r="I54" s="54">
        <v>53</v>
      </c>
      <c r="J54" s="38" t="str">
        <f>B54</f>
        <v>ダブルスの　　アドバイザー</v>
      </c>
      <c r="K54" s="52" t="str">
        <f>C54</f>
        <v>氏名</v>
      </c>
      <c r="L54" s="100" t="str">
        <f>D54</f>
        <v>職業</v>
      </c>
      <c r="M54" s="101"/>
      <c r="N54" s="102"/>
      <c r="O54" s="71"/>
    </row>
    <row r="55" spans="1:15" ht="24" customHeight="1">
      <c r="A55" s="22">
        <v>54</v>
      </c>
      <c r="B55" s="51" t="s">
        <v>54</v>
      </c>
      <c r="C55" s="20"/>
      <c r="D55" s="94"/>
      <c r="E55" s="95"/>
      <c r="F55" s="95"/>
      <c r="G55" s="67"/>
      <c r="H55" s="37"/>
      <c r="I55" s="54">
        <v>54</v>
      </c>
      <c r="J55" s="38" t="str">
        <f>B55</f>
        <v>１</v>
      </c>
      <c r="K55" s="44"/>
      <c r="L55" s="97"/>
      <c r="M55" s="98"/>
      <c r="N55" s="99"/>
      <c r="O55" s="71"/>
    </row>
    <row r="56" spans="1:15" ht="24" customHeight="1">
      <c r="A56" s="22">
        <v>55</v>
      </c>
      <c r="B56" s="51" t="s">
        <v>4</v>
      </c>
      <c r="C56" s="20"/>
      <c r="D56" s="94"/>
      <c r="E56" s="95"/>
      <c r="F56" s="95"/>
      <c r="G56" s="67"/>
      <c r="H56" s="37"/>
      <c r="I56" s="54">
        <v>55</v>
      </c>
      <c r="J56" s="38" t="str">
        <f>B56</f>
        <v>２</v>
      </c>
      <c r="K56" s="44"/>
      <c r="L56" s="97"/>
      <c r="M56" s="98"/>
      <c r="N56" s="99"/>
      <c r="O56" s="71"/>
    </row>
    <row r="57" spans="1:15" ht="24" customHeight="1">
      <c r="A57" s="22">
        <v>56</v>
      </c>
      <c r="B57" s="51" t="s">
        <v>5</v>
      </c>
      <c r="C57" s="20"/>
      <c r="D57" s="94"/>
      <c r="E57" s="95"/>
      <c r="F57" s="95"/>
      <c r="G57" s="67"/>
      <c r="H57" s="37"/>
      <c r="I57" s="54">
        <v>56</v>
      </c>
      <c r="J57" s="38" t="str">
        <f>B57</f>
        <v>３</v>
      </c>
      <c r="K57" s="44"/>
      <c r="L57" s="97"/>
      <c r="M57" s="98"/>
      <c r="N57" s="99"/>
      <c r="O57" s="71"/>
    </row>
    <row r="58" spans="1:15" ht="24" customHeight="1">
      <c r="A58" s="22">
        <v>57</v>
      </c>
      <c r="B58" s="51" t="s">
        <v>6</v>
      </c>
      <c r="C58" s="20"/>
      <c r="D58" s="94"/>
      <c r="E58" s="95"/>
      <c r="F58" s="95"/>
      <c r="G58" s="67"/>
      <c r="H58" s="37"/>
      <c r="I58" s="54">
        <v>57</v>
      </c>
      <c r="J58" s="38" t="str">
        <f>B58</f>
        <v>４</v>
      </c>
      <c r="K58" s="44"/>
      <c r="L58" s="97"/>
      <c r="M58" s="98"/>
      <c r="N58" s="99"/>
      <c r="O58" s="71"/>
    </row>
    <row r="60" ht="24" customHeight="1">
      <c r="A60" s="22" t="s">
        <v>119</v>
      </c>
    </row>
    <row r="61" ht="24" customHeight="1">
      <c r="A61" s="22" t="s">
        <v>120</v>
      </c>
    </row>
    <row r="62" ht="24" customHeight="1">
      <c r="A62" s="22" t="s">
        <v>121</v>
      </c>
    </row>
    <row r="63" ht="24" customHeight="1">
      <c r="A63" s="22" t="s">
        <v>122</v>
      </c>
    </row>
    <row r="64" ht="24" customHeight="1">
      <c r="A64" s="22" t="s">
        <v>123</v>
      </c>
    </row>
    <row r="65" ht="24" customHeight="1">
      <c r="A65" s="22" t="s">
        <v>124</v>
      </c>
    </row>
    <row r="66" ht="24" customHeight="1">
      <c r="A66" s="22" t="s">
        <v>125</v>
      </c>
    </row>
    <row r="67" ht="24" customHeight="1">
      <c r="A67" s="22" t="s">
        <v>126</v>
      </c>
    </row>
    <row r="68" ht="24" customHeight="1">
      <c r="A68" s="22" t="s">
        <v>127</v>
      </c>
    </row>
    <row r="69" ht="24" customHeight="1">
      <c r="A69" s="22" t="s">
        <v>128</v>
      </c>
    </row>
    <row r="70" ht="24" customHeight="1">
      <c r="A70" s="22" t="s">
        <v>129</v>
      </c>
    </row>
    <row r="71" ht="24" customHeight="1">
      <c r="A71" s="22" t="s">
        <v>130</v>
      </c>
    </row>
    <row r="72" ht="24" customHeight="1">
      <c r="A72" s="22" t="s">
        <v>131</v>
      </c>
    </row>
    <row r="73" ht="24" customHeight="1">
      <c r="A73" s="22" t="s">
        <v>132</v>
      </c>
    </row>
  </sheetData>
  <sheetProtection selectLockedCells="1"/>
  <mergeCells count="56">
    <mergeCell ref="L41:O41"/>
    <mergeCell ref="L40:O40"/>
    <mergeCell ref="M44:O44"/>
    <mergeCell ref="J46:J47"/>
    <mergeCell ref="J48:J49"/>
    <mergeCell ref="J50:J51"/>
    <mergeCell ref="N48:N49"/>
    <mergeCell ref="M50:M51"/>
    <mergeCell ref="N50:N51"/>
    <mergeCell ref="J52:J53"/>
    <mergeCell ref="J29:K29"/>
    <mergeCell ref="M29:O29"/>
    <mergeCell ref="J44:K44"/>
    <mergeCell ref="L39:O39"/>
    <mergeCell ref="L43:O43"/>
    <mergeCell ref="L42:O42"/>
    <mergeCell ref="M52:M53"/>
    <mergeCell ref="N52:N53"/>
    <mergeCell ref="M48:M49"/>
    <mergeCell ref="B1:H1"/>
    <mergeCell ref="J1:O1"/>
    <mergeCell ref="E28:G28"/>
    <mergeCell ref="B46:B47"/>
    <mergeCell ref="E46:E47"/>
    <mergeCell ref="M28:O28"/>
    <mergeCell ref="F46:F47"/>
    <mergeCell ref="M46:M47"/>
    <mergeCell ref="N46:N47"/>
    <mergeCell ref="B29:C29"/>
    <mergeCell ref="B48:B49"/>
    <mergeCell ref="B50:B51"/>
    <mergeCell ref="B52:B53"/>
    <mergeCell ref="D54:F54"/>
    <mergeCell ref="F48:F49"/>
    <mergeCell ref="F50:F51"/>
    <mergeCell ref="F52:F53"/>
    <mergeCell ref="E48:E49"/>
    <mergeCell ref="E50:E51"/>
    <mergeCell ref="E52:E53"/>
    <mergeCell ref="L58:N58"/>
    <mergeCell ref="L54:N54"/>
    <mergeCell ref="L55:N55"/>
    <mergeCell ref="D55:F55"/>
    <mergeCell ref="D56:F56"/>
    <mergeCell ref="D57:F57"/>
    <mergeCell ref="D58:F58"/>
    <mergeCell ref="L56:N56"/>
    <mergeCell ref="L57:N57"/>
    <mergeCell ref="E29:G29"/>
    <mergeCell ref="B44:C44"/>
    <mergeCell ref="E44:G44"/>
    <mergeCell ref="D39:G39"/>
    <mergeCell ref="D40:G40"/>
    <mergeCell ref="D41:G41"/>
    <mergeCell ref="D42:G42"/>
    <mergeCell ref="D43:G43"/>
  </mergeCells>
  <dataValidations count="12">
    <dataValidation allowBlank="1" showInputMessage="1" showErrorMessage="1" imeMode="on" sqref="C55:G58 C45:C53 C17:C28 C31:C38 C15 C11:C12 E28:G29 C7:C9 E44:G44 C40:D43"/>
    <dataValidation type="whole" allowBlank="1" showInputMessage="1" showErrorMessage="1" error="入力できるのは、1～3(半角)のみです。" imeMode="off" sqref="L46:L53 D46:D53 D31:D38">
      <formula1>1</formula1>
      <formula2>3</formula2>
    </dataValidation>
    <dataValidation type="whole" allowBlank="1" showInputMessage="1" showErrorMessage="1" error="常識の範囲内での順位を、半角で入力してください。" imeMode="off" sqref="M46:M53 E46:E53 E31:E38">
      <formula1>1</formula1>
      <formula2>16</formula2>
    </dataValidation>
    <dataValidation type="list" allowBlank="1" showInputMessage="1" showErrorMessage="1" imeMode="on" sqref="N46:N53 F46:F53 F31:F38">
      <formula1>"Ａ,Ｂ,Ｃ,Ｄ"</formula1>
    </dataValidation>
    <dataValidation type="list" allowBlank="1" showInputMessage="1" showErrorMessage="1" sqref="C5 K5">
      <formula1>"男子,女子"</formula1>
    </dataValidation>
    <dataValidation type="list" allowBlank="1" showInputMessage="1" showErrorMessage="1" sqref="C4 K4">
      <formula1>"春季大会,総合体育大会,新人大会"</formula1>
    </dataValidation>
    <dataValidation type="list" allowBlank="1" showInputMessage="1" showErrorMessage="1" sqref="K6">
      <formula1>"前橋勢多,高崎,桐生みどり,伊勢崎佐波,太田,館林,渋川北群馬,藤岡多野,富岡甘楽,沼田,安中,利根,吾妻,邑楽"</formula1>
    </dataValidation>
    <dataValidation type="textLength" allowBlank="1" showInputMessage="1" showErrorMessage="1" error="『7/31』のように、すべて半角で入力してください。" imeMode="off" sqref="C2">
      <formula1>3</formula1>
      <formula2>5</formula2>
    </dataValidation>
    <dataValidation type="textLength" operator="equal" allowBlank="1" showInputMessage="1" showErrorMessage="1" error="－(ハイフン)を入れて、半角１２桁で入力してください。" imeMode="off" sqref="C13:C14">
      <formula1>12</formula1>
    </dataValidation>
    <dataValidation type="list" allowBlank="1" showInputMessage="1" showErrorMessage="1" imeMode="on" sqref="G31:G38">
      <formula1>"○"</formula1>
    </dataValidation>
    <dataValidation type="whole" allowBlank="1" showInputMessage="1" showErrorMessage="1" error="常識の範囲内の順位を、半角で入力してください。" imeMode="off" sqref="C16">
      <formula1>1</formula1>
      <formula2>8</formula2>
    </dataValidation>
    <dataValidation type="list" allowBlank="1" showInputMessage="1" showErrorMessage="1" sqref="C6">
      <formula1>$A$60:$A$73</formula1>
    </dataValidation>
  </dataValidations>
  <printOptions/>
  <pageMargins left="0.7874015748031497" right="0.7874015748031497" top="0.7874015748031497" bottom="0.7874015748031497" header="0.1968503937007874" footer="0.1968503937007874"/>
  <pageSetup fitToHeight="1" fitToWidth="1" horizontalDpi="600" verticalDpi="600" orientation="portrait" paperSize="9" scale="57" r:id="rId4"/>
  <ignoredErrors>
    <ignoredError sqref="B31:B38 B55:B58 B19:B25 B48:B53 B46:B47 J48:J53 B40:B43" numberStoredAsText="1"/>
  </ignoredError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2:O59"/>
  <sheetViews>
    <sheetView showGridLines="0" showRowColHeaders="0" showOutlineSymbols="0" zoomScalePageLayoutView="0" workbookViewId="0" topLeftCell="A1">
      <selection activeCell="T41" sqref="T41"/>
    </sheetView>
  </sheetViews>
  <sheetFormatPr defaultColWidth="9.00390625" defaultRowHeight="13.5"/>
  <cols>
    <col min="1" max="1" width="3.125" style="1" customWidth="1"/>
    <col min="2" max="3" width="15.625" style="1" customWidth="1"/>
    <col min="4" max="5" width="3.125" style="1" customWidth="1"/>
    <col min="6" max="6" width="5.625" style="1" customWidth="1"/>
    <col min="7" max="8" width="3.125" style="1" customWidth="1"/>
    <col min="9" max="9" width="5.625" style="1" customWidth="1"/>
    <col min="10" max="11" width="3.125" style="1" customWidth="1"/>
    <col min="12" max="12" width="5.625" style="1" customWidth="1"/>
    <col min="13" max="13" width="10.625" style="1" customWidth="1"/>
    <col min="14" max="15" width="5.625" style="1" customWidth="1"/>
    <col min="16" max="16384" width="9.00390625" style="1" customWidth="1"/>
  </cols>
  <sheetData>
    <row r="1" ht="15" customHeight="1" thickBot="1"/>
    <row r="2" spans="2:15" ht="30" customHeight="1" thickBot="1">
      <c r="B2" s="73" t="str">
        <f>IF(VLOOKUP(4,入力,3)="","男子･女子",VLOOKUP(4,入力,3))</f>
        <v>男子･女子</v>
      </c>
      <c r="J2" s="124" t="s">
        <v>38</v>
      </c>
      <c r="K2" s="122"/>
      <c r="L2" s="122"/>
      <c r="M2" s="122">
        <f>IF(VLOOKUP(5,入力,3)="","",VLOOKUP(5,入力,3))</f>
      </c>
      <c r="N2" s="122"/>
      <c r="O2" s="123"/>
    </row>
    <row r="3" spans="2:15" ht="9.75" customHeight="1">
      <c r="B3" s="6"/>
      <c r="J3" s="6"/>
      <c r="K3" s="6"/>
      <c r="L3" s="6"/>
      <c r="M3" s="6"/>
      <c r="N3" s="6"/>
      <c r="O3" s="6"/>
    </row>
    <row r="4" spans="2:15" s="19" customFormat="1" ht="30" customHeight="1">
      <c r="B4" s="158" t="str">
        <f>IF(AND(VLOOKUP(2,入力,3)="",VLOOKUP(3,入力,3)=""),"　　　　年度　群馬県中学校　　　　大会卓球大会　参加申込書",IF(VLOOKUP(2,入力,3)="","　　　　年度　群馬県中学校"&amp;VLOOKUP(3,入力,3)&amp;"卓球大会　参加申込書",IF(VLOOKUP(3,入力,3)="",VLOOKUP(2,入力,3)&amp;"年度　群馬県中学校　　　　大会",VLOOKUP(2,入力,3)&amp;"年度 群馬県中学校"&amp;VLOOKUP(3,入力,3)&amp;"卓球大会　参加申込書")))</f>
        <v>　　　　年度　群馬県中学校　　　　大会卓球大会　参加申込書</v>
      </c>
      <c r="C4" s="158"/>
      <c r="D4" s="158"/>
      <c r="E4" s="158"/>
      <c r="F4" s="158"/>
      <c r="G4" s="158"/>
      <c r="H4" s="158"/>
      <c r="I4" s="158"/>
      <c r="J4" s="158"/>
      <c r="K4" s="158"/>
      <c r="L4" s="158"/>
      <c r="M4" s="158"/>
      <c r="N4" s="158"/>
      <c r="O4" s="158"/>
    </row>
    <row r="5" spans="2:15" ht="9.75" customHeight="1">
      <c r="B5" s="4"/>
      <c r="C5" s="4"/>
      <c r="D5" s="4"/>
      <c r="E5" s="4"/>
      <c r="F5" s="4"/>
      <c r="G5" s="4"/>
      <c r="H5" s="4"/>
      <c r="I5" s="4"/>
      <c r="J5" s="4"/>
      <c r="K5" s="4"/>
      <c r="L5" s="4"/>
      <c r="M5" s="4"/>
      <c r="N5" s="4"/>
      <c r="O5" s="4"/>
    </row>
    <row r="6" spans="2:15" s="11" customFormat="1" ht="18" customHeight="1">
      <c r="B6" s="78" t="s">
        <v>0</v>
      </c>
      <c r="C6" s="130">
        <f>IF(AND(VLOOKUP(6,入力,3)="",VLOOKUP(7,入力,3)=""),"",IF(VLOOKUP(6,入力,3)="",VLOOKUP(7,入力,3),IF(VLOOKUP(7,入力,3)="",VLOOKUP(6,入力,3)&amp;VLOOKUP(6,入力,4)&amp;"　　　　　　　中学校",VLOOKUP(6,入力,3)&amp;VLOOKUP(6,入力,4)&amp;VLOOKUP(7,入力,3))))</f>
      </c>
      <c r="D6" s="131"/>
      <c r="E6" s="131"/>
      <c r="F6" s="131"/>
      <c r="G6" s="131"/>
      <c r="H6" s="131"/>
      <c r="I6" s="131"/>
      <c r="J6" s="131"/>
      <c r="K6" s="131"/>
      <c r="L6" s="131"/>
      <c r="M6" s="131"/>
      <c r="N6" s="131"/>
      <c r="O6" s="132"/>
    </row>
    <row r="7" spans="2:15" s="11" customFormat="1" ht="18" customHeight="1">
      <c r="B7" s="81" t="s">
        <v>49</v>
      </c>
      <c r="C7" s="128">
        <f>IF(VLOOKUP(8,入力,3)="","",VLOOKUP(8,入力,3))</f>
      </c>
      <c r="D7" s="161"/>
      <c r="E7" s="161"/>
      <c r="F7" s="161"/>
      <c r="G7" s="161"/>
      <c r="H7" s="161"/>
      <c r="I7" s="161"/>
      <c r="J7" s="161"/>
      <c r="K7" s="161"/>
      <c r="L7" s="161"/>
      <c r="M7" s="161"/>
      <c r="N7" s="161"/>
      <c r="O7" s="129"/>
    </row>
    <row r="8" spans="2:15" s="11" customFormat="1" ht="18" customHeight="1">
      <c r="B8" s="81" t="s">
        <v>1</v>
      </c>
      <c r="C8" s="163" t="str">
        <f>IF(VLOOKUP(9,入力,3)="","　〒　　　　　","  〒"&amp;VLOOKUP(9,入力,3)&amp;"  群馬県"&amp;VLOOKUP(10,入力,3)&amp;VLOOKUP(11,入力,3))</f>
        <v>　〒　　　　　</v>
      </c>
      <c r="D8" s="164"/>
      <c r="E8" s="164"/>
      <c r="F8" s="164"/>
      <c r="G8" s="164"/>
      <c r="H8" s="164"/>
      <c r="I8" s="164"/>
      <c r="J8" s="164"/>
      <c r="K8" s="164"/>
      <c r="L8" s="164"/>
      <c r="M8" s="164"/>
      <c r="N8" s="164"/>
      <c r="O8" s="165"/>
    </row>
    <row r="9" spans="2:15" s="11" customFormat="1" ht="18" customHeight="1">
      <c r="B9" s="78" t="s">
        <v>50</v>
      </c>
      <c r="C9" s="130">
        <f>IF(VLOOKUP(12,入力,3)="","",VLOOKUP(12,入力,3))</f>
      </c>
      <c r="D9" s="131"/>
      <c r="E9" s="131"/>
      <c r="F9" s="131"/>
      <c r="G9" s="130" t="s">
        <v>51</v>
      </c>
      <c r="H9" s="131"/>
      <c r="I9" s="131"/>
      <c r="J9" s="131"/>
      <c r="K9" s="132"/>
      <c r="L9" s="131">
        <f>IF(VLOOKUP(13,入力,3)="","",VLOOKUP(13,入力,3))</f>
      </c>
      <c r="M9" s="131"/>
      <c r="N9" s="131"/>
      <c r="O9" s="132"/>
    </row>
    <row r="10" spans="2:15" ht="13.5">
      <c r="B10" s="4"/>
      <c r="C10" s="4"/>
      <c r="D10" s="4"/>
      <c r="E10" s="4"/>
      <c r="F10" s="4"/>
      <c r="G10" s="4"/>
      <c r="H10" s="4"/>
      <c r="I10" s="4"/>
      <c r="J10" s="4"/>
      <c r="K10" s="4"/>
      <c r="L10" s="4"/>
      <c r="M10" s="4"/>
      <c r="N10" s="4"/>
      <c r="O10" s="4"/>
    </row>
    <row r="11" spans="2:15" ht="18" customHeight="1">
      <c r="B11" s="77" t="s">
        <v>48</v>
      </c>
      <c r="C11" s="128" t="str">
        <f>IF(VLOOKUP(15,入力,3)="","　　位",WIDECHAR(VLOOKUP(15,入力,3))&amp;"位")</f>
        <v>　　位</v>
      </c>
      <c r="D11" s="129"/>
      <c r="E11" s="75"/>
      <c r="F11" s="75"/>
      <c r="G11" s="75"/>
      <c r="H11" s="75"/>
      <c r="I11" s="75"/>
      <c r="J11" s="75"/>
      <c r="K11" s="75"/>
      <c r="L11" s="75"/>
      <c r="M11" s="6"/>
      <c r="N11" s="6"/>
      <c r="O11" s="6"/>
    </row>
    <row r="12" spans="2:15" ht="18" customHeight="1">
      <c r="B12" s="80" t="s">
        <v>2</v>
      </c>
      <c r="C12" s="160">
        <f>IF(VLOOKUP(14,入力,3)="","","  "&amp;VLOOKUP(14,入力,3))</f>
      </c>
      <c r="D12" s="169"/>
      <c r="E12" s="169"/>
      <c r="F12" s="169"/>
      <c r="G12" s="169"/>
      <c r="H12" s="169"/>
      <c r="I12" s="169"/>
      <c r="J12" s="169"/>
      <c r="K12" s="169"/>
      <c r="L12" s="169"/>
      <c r="M12" s="169"/>
      <c r="N12" s="169"/>
      <c r="O12" s="170"/>
    </row>
    <row r="13" spans="2:15" ht="15" customHeight="1">
      <c r="B13" s="2" t="s">
        <v>52</v>
      </c>
      <c r="C13" s="127" t="s">
        <v>9</v>
      </c>
      <c r="D13" s="127"/>
      <c r="E13" s="127" t="s">
        <v>8</v>
      </c>
      <c r="F13" s="127"/>
      <c r="G13" s="127"/>
      <c r="H13" s="120" t="s">
        <v>101</v>
      </c>
      <c r="I13" s="126"/>
      <c r="J13" s="121"/>
      <c r="K13" s="120" t="s">
        <v>9</v>
      </c>
      <c r="L13" s="126"/>
      <c r="M13" s="121"/>
      <c r="N13" s="120" t="s">
        <v>8</v>
      </c>
      <c r="O13" s="121"/>
    </row>
    <row r="14" spans="2:15" ht="15" customHeight="1">
      <c r="B14" s="2" t="s">
        <v>3</v>
      </c>
      <c r="C14" s="120">
        <f>IF(VLOOKUP(17,入力,3)="","",VLOOKUP(17,入力,3))</f>
      </c>
      <c r="D14" s="121"/>
      <c r="E14" s="120" t="str">
        <f>IF(VLOOKUP(17,入力,4)="","　年",WIDECHAR(VLOOKUP(17,入力,4))&amp;"年")</f>
        <v>　年</v>
      </c>
      <c r="F14" s="126"/>
      <c r="G14" s="121"/>
      <c r="H14" s="125" t="s">
        <v>102</v>
      </c>
      <c r="I14" s="167"/>
      <c r="J14" s="168"/>
      <c r="K14" s="120">
        <f>IF(VLOOKUP(22,入力,3)="","",VLOOKUP(22,入力,3))</f>
      </c>
      <c r="L14" s="126"/>
      <c r="M14" s="121"/>
      <c r="N14" s="120" t="str">
        <f>IF(VLOOKUP(22,入力,4)="","　年",WIDECHAR(VLOOKUP(22,入力,4))&amp;"年")</f>
        <v>　年</v>
      </c>
      <c r="O14" s="121"/>
    </row>
    <row r="15" spans="2:15" ht="15" customHeight="1">
      <c r="B15" s="79" t="s">
        <v>75</v>
      </c>
      <c r="C15" s="120">
        <f>IF(VLOOKUP(18,入力,3)="","",VLOOKUP(18,入力,3))</f>
      </c>
      <c r="D15" s="121"/>
      <c r="E15" s="120" t="str">
        <f>IF(VLOOKUP(18,入力,4)="","　年",WIDECHAR(VLOOKUP(18,入力,4))&amp;"年")</f>
        <v>　年</v>
      </c>
      <c r="F15" s="126"/>
      <c r="G15" s="121"/>
      <c r="H15" s="125" t="s">
        <v>103</v>
      </c>
      <c r="I15" s="167"/>
      <c r="J15" s="168"/>
      <c r="K15" s="120">
        <f>IF(VLOOKUP(23,入力,3)="","",VLOOKUP(23,入力,3))</f>
      </c>
      <c r="L15" s="126"/>
      <c r="M15" s="121"/>
      <c r="N15" s="120" t="str">
        <f>IF(VLOOKUP(23,入力,4)="","　年",WIDECHAR(VLOOKUP(23,入力,4))&amp;"年")</f>
        <v>　年</v>
      </c>
      <c r="O15" s="121"/>
    </row>
    <row r="16" spans="2:15" ht="15" customHeight="1">
      <c r="B16" s="79" t="s">
        <v>76</v>
      </c>
      <c r="C16" s="120">
        <f>IF(VLOOKUP(19,入力,3)="","",VLOOKUP(19,入力,3))</f>
      </c>
      <c r="D16" s="121"/>
      <c r="E16" s="120" t="str">
        <f>IF(VLOOKUP(19,入力,4)="","　年",WIDECHAR(VLOOKUP(19,入力,4))&amp;"年")</f>
        <v>　年</v>
      </c>
      <c r="F16" s="126"/>
      <c r="G16" s="121"/>
      <c r="H16" s="125" t="s">
        <v>104</v>
      </c>
      <c r="I16" s="167"/>
      <c r="J16" s="168"/>
      <c r="K16" s="120">
        <f>IF(VLOOKUP(24,入力,3)="","",VLOOKUP(24,入力,3))</f>
      </c>
      <c r="L16" s="126"/>
      <c r="M16" s="121"/>
      <c r="N16" s="120" t="str">
        <f>IF(VLOOKUP(24,入力,4)="","　年",WIDECHAR(VLOOKUP(24,入力,4))&amp;"年")</f>
        <v>　年</v>
      </c>
      <c r="O16" s="121"/>
    </row>
    <row r="17" spans="2:15" ht="15" customHeight="1">
      <c r="B17" s="79" t="s">
        <v>77</v>
      </c>
      <c r="C17" s="120">
        <f>IF(VLOOKUP(20,入力,3)="","",VLOOKUP(20,入力,3))</f>
      </c>
      <c r="D17" s="121"/>
      <c r="E17" s="120" t="str">
        <f>IF(VLOOKUP(20,入力,4)="","　年",WIDECHAR(VLOOKUP(20,入力,4))&amp;"年")</f>
        <v>　年</v>
      </c>
      <c r="F17" s="126"/>
      <c r="G17" s="121"/>
      <c r="H17" s="125" t="s">
        <v>116</v>
      </c>
      <c r="I17" s="126"/>
      <c r="J17" s="121"/>
      <c r="K17" s="120">
        <f>IF(VLOOKUP(25,入力,3)="","",VLOOKUP(25,入力,3))</f>
      </c>
      <c r="L17" s="126"/>
      <c r="M17" s="121"/>
      <c r="N17" s="120" t="str">
        <f>IF(VLOOKUP(25,入力,4)="","　年",WIDECHAR(VLOOKUP(25,入力,4))&amp;"年")</f>
        <v>　年</v>
      </c>
      <c r="O17" s="121"/>
    </row>
    <row r="18" spans="2:15" ht="15" customHeight="1">
      <c r="B18" s="79" t="s">
        <v>40</v>
      </c>
      <c r="C18" s="120">
        <f>IF(VLOOKUP(21,入力,3)="","",VLOOKUP(21,入力,3))</f>
      </c>
      <c r="D18" s="121"/>
      <c r="E18" s="120" t="str">
        <f>IF(VLOOKUP(21,入力,4)="","　年",WIDECHAR(VLOOKUP(21,入力,4))&amp;"年")</f>
        <v>　年</v>
      </c>
      <c r="F18" s="126"/>
      <c r="G18" s="121"/>
      <c r="H18" s="125" t="s">
        <v>117</v>
      </c>
      <c r="I18" s="126"/>
      <c r="J18" s="121"/>
      <c r="K18" s="120">
        <f>IF(VLOOKUP(26,入力,3)="","",VLOOKUP(26,入力,3))</f>
      </c>
      <c r="L18" s="126"/>
      <c r="M18" s="121"/>
      <c r="N18" s="120" t="str">
        <f>IF(VLOOKUP(26,入力,4)="","　年",WIDECHAR(VLOOKUP(26,入力,4))&amp;"年")</f>
        <v>　年</v>
      </c>
      <c r="O18" s="121"/>
    </row>
    <row r="19" spans="2:15" ht="15" customHeight="1">
      <c r="B19" s="152" t="s">
        <v>108</v>
      </c>
      <c r="C19" s="153"/>
      <c r="D19" s="153"/>
      <c r="E19" s="153"/>
      <c r="F19" s="153"/>
      <c r="G19" s="153"/>
      <c r="H19" s="153"/>
      <c r="I19" s="153"/>
      <c r="J19" s="154"/>
      <c r="K19" s="120" t="s">
        <v>105</v>
      </c>
      <c r="L19" s="126"/>
      <c r="M19" s="121"/>
      <c r="N19" s="127" t="s">
        <v>106</v>
      </c>
      <c r="O19" s="127"/>
    </row>
    <row r="20" spans="2:15" ht="27" customHeight="1">
      <c r="B20" s="155"/>
      <c r="C20" s="156"/>
      <c r="D20" s="156"/>
      <c r="E20" s="156"/>
      <c r="F20" s="156"/>
      <c r="G20" s="156"/>
      <c r="H20" s="156"/>
      <c r="I20" s="156"/>
      <c r="J20" s="157"/>
      <c r="K20" s="126">
        <f>IF(VLOOKUP(27,入力,3)="","",VLOOKUP(27,入力,3))</f>
      </c>
      <c r="L20" s="126"/>
      <c r="M20" s="121"/>
      <c r="N20" s="127">
        <f>IF(VLOOKUP(27,入力,5)="","",VLOOKUP(27,入力,5))</f>
      </c>
      <c r="O20" s="127"/>
    </row>
    <row r="21" spans="2:15" ht="13.5">
      <c r="B21" s="4"/>
      <c r="C21" s="4"/>
      <c r="D21" s="4"/>
      <c r="E21" s="4"/>
      <c r="F21" s="4"/>
      <c r="G21" s="4"/>
      <c r="H21" s="4"/>
      <c r="I21" s="4"/>
      <c r="J21" s="4"/>
      <c r="K21" s="4"/>
      <c r="L21" s="4"/>
      <c r="M21" s="4"/>
      <c r="N21" s="4"/>
      <c r="O21" s="4"/>
    </row>
    <row r="22" spans="2:15" s="11" customFormat="1" ht="18" customHeight="1">
      <c r="B22" s="78" t="s">
        <v>70</v>
      </c>
      <c r="C22" s="76"/>
      <c r="D22" s="75"/>
      <c r="E22" s="75"/>
      <c r="F22" s="75"/>
      <c r="G22" s="75"/>
      <c r="H22" s="75"/>
      <c r="I22" s="75"/>
      <c r="J22" s="75"/>
      <c r="K22" s="75"/>
      <c r="L22" s="75"/>
      <c r="M22" s="75"/>
      <c r="N22" s="75"/>
      <c r="O22" s="75"/>
    </row>
    <row r="23" spans="2:15" s="11" customFormat="1" ht="18" customHeight="1">
      <c r="B23" s="78" t="s">
        <v>2</v>
      </c>
      <c r="C23" s="159">
        <f>IF(VLOOKUP(28,入力,5)="","","  "&amp;VLOOKUP(28,入力,5))</f>
      </c>
      <c r="D23" s="159"/>
      <c r="E23" s="159"/>
      <c r="F23" s="159"/>
      <c r="G23" s="159"/>
      <c r="H23" s="159"/>
      <c r="I23" s="159"/>
      <c r="J23" s="159"/>
      <c r="K23" s="159"/>
      <c r="L23" s="159"/>
      <c r="M23" s="159"/>
      <c r="N23" s="160"/>
      <c r="O23" s="159"/>
    </row>
    <row r="24" spans="2:15" ht="15" customHeight="1">
      <c r="B24" s="2" t="s">
        <v>52</v>
      </c>
      <c r="C24" s="60" t="s">
        <v>9</v>
      </c>
      <c r="D24" s="120" t="s">
        <v>8</v>
      </c>
      <c r="E24" s="121"/>
      <c r="F24" s="57" t="s">
        <v>39</v>
      </c>
      <c r="G24" s="120" t="s">
        <v>57</v>
      </c>
      <c r="H24" s="121"/>
      <c r="I24" s="57" t="s">
        <v>66</v>
      </c>
      <c r="J24" s="145"/>
      <c r="K24" s="120" t="s">
        <v>23</v>
      </c>
      <c r="L24" s="126"/>
      <c r="M24" s="121"/>
      <c r="N24" s="120" t="s">
        <v>37</v>
      </c>
      <c r="O24" s="121"/>
    </row>
    <row r="25" spans="2:15" ht="15" customHeight="1">
      <c r="B25" s="79" t="s">
        <v>59</v>
      </c>
      <c r="C25" s="5">
        <f>IF(VLOOKUP(30,入力,3)="","",VLOOKUP(30,入力,3))</f>
      </c>
      <c r="D25" s="120">
        <f>IF(VLOOKUP(30,入力,4)="","",VLOOKUP(30,入力,4))</f>
      </c>
      <c r="E25" s="121"/>
      <c r="F25" s="5">
        <f>IF(VLOOKUP(30,入力,5)="","",VLOOKUP(30,入力,5))</f>
      </c>
      <c r="G25" s="120">
        <f>IF(VLOOKUP(30,入力,6)="","",VLOOKUP(30,入力,6))</f>
      </c>
      <c r="H25" s="121"/>
      <c r="I25" s="5">
        <f>IF(VLOOKUP(30,入力,7)="","",VLOOKUP(30,入力,7))</f>
      </c>
      <c r="J25" s="145"/>
      <c r="K25" s="120">
        <f>IF(VLOOKUP(39,入力,3)="","",VLOOKUP(39,入力,3))</f>
      </c>
      <c r="L25" s="126"/>
      <c r="M25" s="121"/>
      <c r="N25" s="120">
        <f>IF(VLOOKUP(39,入力,4)="","",VLOOKUP(39,入力,4))</f>
      </c>
      <c r="O25" s="121"/>
    </row>
    <row r="26" spans="2:15" ht="15" customHeight="1">
      <c r="B26" s="79" t="s">
        <v>34</v>
      </c>
      <c r="C26" s="5">
        <f>IF(VLOOKUP(31,入力,3)="","",VLOOKUP(31,入力,3))</f>
      </c>
      <c r="D26" s="120">
        <f>IF(VLOOKUP(31,入力,4)="","",VLOOKUP(31,入力,4))</f>
      </c>
      <c r="E26" s="121"/>
      <c r="F26" s="5">
        <f>IF(VLOOKUP(31,入力,5)="","",VLOOKUP(31,入力,5))</f>
      </c>
      <c r="G26" s="120">
        <f>IF(VLOOKUP(31,入力,6)="","",VLOOKUP(31,入力,6))</f>
      </c>
      <c r="H26" s="121"/>
      <c r="I26" s="5">
        <f>IF(VLOOKUP(31,入力,7)="","",VLOOKUP(31,入力,7))</f>
      </c>
      <c r="J26" s="145"/>
      <c r="K26" s="120">
        <f>IF(VLOOKUP(40,入力,3)="","",VLOOKUP(40,入力,3))</f>
      </c>
      <c r="L26" s="126"/>
      <c r="M26" s="121"/>
      <c r="N26" s="120">
        <f>IF(VLOOKUP(40,入力,4)="","",VLOOKUP(40,入力,4))</f>
      </c>
      <c r="O26" s="121"/>
    </row>
    <row r="27" spans="2:15" ht="15" customHeight="1">
      <c r="B27" s="79" t="s">
        <v>35</v>
      </c>
      <c r="C27" s="5">
        <f>IF(VLOOKUP(32,入力,3)="","",VLOOKUP(32,入力,3))</f>
      </c>
      <c r="D27" s="120">
        <f>IF(VLOOKUP(32,入力,4)="","",VLOOKUP(32,入力,4))</f>
      </c>
      <c r="E27" s="121"/>
      <c r="F27" s="5">
        <f>IF(VLOOKUP(32,入力,5)="","",VLOOKUP(32,入力,5))</f>
      </c>
      <c r="G27" s="120">
        <f>IF(VLOOKUP(32,入力,6)="","",VLOOKUP(32,入力,6))</f>
      </c>
      <c r="H27" s="121"/>
      <c r="I27" s="5">
        <f>IF(VLOOKUP(32,入力,7)="","",VLOOKUP(32,入力,7))</f>
      </c>
      <c r="J27" s="145"/>
      <c r="K27" s="120">
        <f>IF(VLOOKUP(41,入力,3)="","",VLOOKUP(41,入力,3))</f>
      </c>
      <c r="L27" s="126"/>
      <c r="M27" s="121"/>
      <c r="N27" s="120">
        <f>IF(VLOOKUP(41,入力,4)="","",VLOOKUP(41,入力,4))</f>
      </c>
      <c r="O27" s="121"/>
    </row>
    <row r="28" spans="2:15" ht="15" customHeight="1">
      <c r="B28" s="79" t="s">
        <v>36</v>
      </c>
      <c r="C28" s="5">
        <f>IF(VLOOKUP(33,入力,3)="","",VLOOKUP(33,入力,3))</f>
      </c>
      <c r="D28" s="120">
        <f>IF(VLOOKUP(33,入力,4)="","",VLOOKUP(33,入力,4))</f>
      </c>
      <c r="E28" s="121"/>
      <c r="F28" s="5">
        <f>IF(VLOOKUP(33,入力,5)="","",VLOOKUP(33,入力,5))</f>
      </c>
      <c r="G28" s="120">
        <f>IF(VLOOKUP(33,入力,6)="","",VLOOKUP(33,入力,6))</f>
      </c>
      <c r="H28" s="121"/>
      <c r="I28" s="5">
        <f>IF(VLOOKUP(33,入力,7)="","",VLOOKUP(33,入力,7))</f>
      </c>
      <c r="J28" s="145"/>
      <c r="K28" s="120">
        <f>IF(VLOOKUP(42,入力,3)="","",VLOOKUP(42,入力,3))</f>
      </c>
      <c r="L28" s="126"/>
      <c r="M28" s="121"/>
      <c r="N28" s="120">
        <f>IF(VLOOKUP(42,入力,4)="","",VLOOKUP(42,入力,4))</f>
      </c>
      <c r="O28" s="121"/>
    </row>
    <row r="29" spans="2:15" ht="15" customHeight="1">
      <c r="B29" s="79" t="s">
        <v>60</v>
      </c>
      <c r="C29" s="5">
        <f>IF(VLOOKUP(34,入力,3)="","",VLOOKUP(34,入力,3))</f>
      </c>
      <c r="D29" s="120">
        <f>IF(VLOOKUP(34,入力,4)="","",VLOOKUP(34,入力,4))</f>
      </c>
      <c r="E29" s="121"/>
      <c r="F29" s="5">
        <f>IF(VLOOKUP(34,入力,5)="","",VLOOKUP(34,入力,5))</f>
      </c>
      <c r="G29" s="120">
        <f>IF(VLOOKUP(34,入力,6)="","",VLOOKUP(34,入力,6))</f>
      </c>
      <c r="H29" s="121"/>
      <c r="I29" s="5">
        <f>IF(VLOOKUP(34,入力,7)="","",VLOOKUP(34,入力,7))</f>
      </c>
      <c r="J29" s="145"/>
      <c r="K29" s="133" t="s">
        <v>114</v>
      </c>
      <c r="L29" s="134"/>
      <c r="M29" s="134"/>
      <c r="N29" s="134"/>
      <c r="O29" s="135"/>
    </row>
    <row r="30" spans="2:15" ht="15" customHeight="1">
      <c r="B30" s="79" t="s">
        <v>61</v>
      </c>
      <c r="C30" s="5">
        <f>IF(VLOOKUP(35,入力,3)="","",VLOOKUP(35,入力,3))</f>
      </c>
      <c r="D30" s="120">
        <f>IF(VLOOKUP(35,入力,4)="","",VLOOKUP(35,入力,4))</f>
      </c>
      <c r="E30" s="121"/>
      <c r="F30" s="5">
        <f>IF(VLOOKUP(35,入力,5)="","",VLOOKUP(35,入力,5))</f>
      </c>
      <c r="G30" s="120">
        <f>IF(VLOOKUP(35,入力,6)="","",VLOOKUP(35,入力,6))</f>
      </c>
      <c r="H30" s="121"/>
      <c r="I30" s="5">
        <f>IF(VLOOKUP(35,入力,7)="","",VLOOKUP(35,入力,7))</f>
      </c>
      <c r="J30" s="145"/>
      <c r="K30" s="136"/>
      <c r="L30" s="137"/>
      <c r="M30" s="137"/>
      <c r="N30" s="137"/>
      <c r="O30" s="138"/>
    </row>
    <row r="31" spans="2:15" ht="15" customHeight="1">
      <c r="B31" s="79" t="s">
        <v>62</v>
      </c>
      <c r="C31" s="5">
        <f>IF(VLOOKUP(36,入力,3)="","",VLOOKUP(36,入力,3))</f>
      </c>
      <c r="D31" s="120">
        <f>IF(VLOOKUP(36,入力,4)="","",VLOOKUP(36,入力,4))</f>
      </c>
      <c r="E31" s="121"/>
      <c r="F31" s="5">
        <f>IF(VLOOKUP(36,入力,5)="","",VLOOKUP(36,入力,5))</f>
      </c>
      <c r="G31" s="120">
        <f>IF(VLOOKUP(36,入力,6)="","",VLOOKUP(36,入力,6))</f>
      </c>
      <c r="H31" s="121"/>
      <c r="I31" s="5">
        <f>IF(VLOOKUP(36,入力,7)="","",VLOOKUP(36,入力,7))</f>
      </c>
      <c r="J31" s="145"/>
      <c r="K31" s="136"/>
      <c r="L31" s="137"/>
      <c r="M31" s="137"/>
      <c r="N31" s="137"/>
      <c r="O31" s="138"/>
    </row>
    <row r="32" spans="2:15" ht="15" customHeight="1">
      <c r="B32" s="79" t="s">
        <v>63</v>
      </c>
      <c r="C32" s="5">
        <f>IF(VLOOKUP(37,入力,3)="","",VLOOKUP(37,入力,3))</f>
      </c>
      <c r="D32" s="120">
        <f>IF(VLOOKUP(37,入力,4)="","",VLOOKUP(37,入力,4))</f>
      </c>
      <c r="E32" s="121"/>
      <c r="F32" s="2">
        <f>IF(VLOOKUP(37,入力,5)="","",VLOOKUP(37,入力,5))</f>
      </c>
      <c r="G32" s="120">
        <f>IF(VLOOKUP(37,入力,6)="","",VLOOKUP(37,入力,6))</f>
      </c>
      <c r="H32" s="121"/>
      <c r="I32" s="2">
        <f>IF(VLOOKUP(37,入力,7)="","",VLOOKUP(37,入力,7))</f>
      </c>
      <c r="J32" s="144"/>
      <c r="K32" s="139"/>
      <c r="L32" s="140"/>
      <c r="M32" s="140"/>
      <c r="N32" s="140"/>
      <c r="O32" s="141"/>
    </row>
    <row r="33" spans="2:15" ht="13.5">
      <c r="B33" s="58"/>
      <c r="C33" s="6"/>
      <c r="D33" s="6"/>
      <c r="E33" s="6"/>
      <c r="F33" s="6"/>
      <c r="G33" s="6"/>
      <c r="H33" s="6"/>
      <c r="I33" s="6"/>
      <c r="J33" s="6"/>
      <c r="K33" s="6"/>
      <c r="L33" s="6"/>
      <c r="M33" s="59"/>
      <c r="N33" s="59"/>
      <c r="O33" s="59"/>
    </row>
    <row r="34" spans="2:15" ht="18" customHeight="1">
      <c r="B34" s="78" t="s">
        <v>74</v>
      </c>
      <c r="C34" s="76"/>
      <c r="D34" s="75"/>
      <c r="E34" s="75"/>
      <c r="F34" s="75"/>
      <c r="G34" s="75"/>
      <c r="H34" s="75"/>
      <c r="I34" s="75"/>
      <c r="J34" s="75"/>
      <c r="K34" s="75"/>
      <c r="L34" s="75"/>
      <c r="M34" s="75"/>
      <c r="N34" s="75"/>
      <c r="O34" s="75"/>
    </row>
    <row r="35" spans="2:15" ht="18" customHeight="1">
      <c r="B35" s="78" t="s">
        <v>2</v>
      </c>
      <c r="C35" s="159">
        <f>IF(VLOOKUP(43,入力,5)="","","  "&amp;VLOOKUP(43,入力,5))</f>
      </c>
      <c r="D35" s="159"/>
      <c r="E35" s="159"/>
      <c r="F35" s="159"/>
      <c r="G35" s="159"/>
      <c r="H35" s="159"/>
      <c r="I35" s="159"/>
      <c r="J35" s="159"/>
      <c r="K35" s="159"/>
      <c r="L35" s="159"/>
      <c r="M35" s="159"/>
      <c r="N35" s="160"/>
      <c r="O35" s="159"/>
    </row>
    <row r="36" spans="2:15" ht="15" customHeight="1">
      <c r="B36" s="2" t="s">
        <v>52</v>
      </c>
      <c r="C36" s="2" t="s">
        <v>9</v>
      </c>
      <c r="D36" s="127" t="s">
        <v>8</v>
      </c>
      <c r="E36" s="127"/>
      <c r="F36" s="127"/>
      <c r="G36" s="120" t="s">
        <v>39</v>
      </c>
      <c r="H36" s="121"/>
      <c r="I36" s="2" t="s">
        <v>68</v>
      </c>
      <c r="J36" s="143"/>
      <c r="K36" s="120" t="s">
        <v>23</v>
      </c>
      <c r="L36" s="126"/>
      <c r="M36" s="121"/>
      <c r="N36" s="120" t="s">
        <v>37</v>
      </c>
      <c r="O36" s="121"/>
    </row>
    <row r="37" spans="2:15" ht="15" customHeight="1">
      <c r="B37" s="146" t="s">
        <v>59</v>
      </c>
      <c r="C37" s="2">
        <f>IF(VLOOKUP(45,入力,3)="","",VLOOKUP(45,入力,3))</f>
      </c>
      <c r="D37" s="120">
        <f>IF(VLOOKUP(45,入力,4)="","",VLOOKUP(45,入力,4))</f>
      </c>
      <c r="E37" s="126"/>
      <c r="F37" s="121"/>
      <c r="G37" s="148">
        <f>IF(VLOOKUP(45,入力,5)="","",VLOOKUP(45,入力,5))</f>
      </c>
      <c r="H37" s="149"/>
      <c r="I37" s="143">
        <f>IF(VLOOKUP(45,入力,6)="","",VLOOKUP(45,入力,6))</f>
      </c>
      <c r="J37" s="145"/>
      <c r="K37" s="120">
        <f>IF(VLOOKUP(54,入力,3)="","",VLOOKUP(54,入力,3))</f>
      </c>
      <c r="L37" s="126"/>
      <c r="M37" s="121"/>
      <c r="N37" s="120">
        <f>IF(VLOOKUP(54,入力,4)="","",VLOOKUP(54,入力,4))</f>
      </c>
      <c r="O37" s="121"/>
    </row>
    <row r="38" spans="2:15" ht="15" customHeight="1">
      <c r="B38" s="147"/>
      <c r="C38" s="2">
        <f>IF(VLOOKUP(46,入力,3)="","",VLOOKUP(46,入力,3))</f>
      </c>
      <c r="D38" s="120">
        <f>IF(VLOOKUP(46,入力,4)="","",VLOOKUP(46,入力,4))</f>
      </c>
      <c r="E38" s="126"/>
      <c r="F38" s="121"/>
      <c r="G38" s="150"/>
      <c r="H38" s="151"/>
      <c r="I38" s="144"/>
      <c r="J38" s="145"/>
      <c r="K38" s="120">
        <f>IF(VLOOKUP(55,入力,3)="","",VLOOKUP(55,入力,3))</f>
      </c>
      <c r="L38" s="126"/>
      <c r="M38" s="121"/>
      <c r="N38" s="120">
        <f>IF(VLOOKUP(55,入力,4)="","",VLOOKUP(55,入力,4))</f>
      </c>
      <c r="O38" s="121"/>
    </row>
    <row r="39" spans="2:15" ht="15" customHeight="1">
      <c r="B39" s="146" t="s">
        <v>107</v>
      </c>
      <c r="C39" s="2">
        <f>IF(VLOOKUP(47,入力,3)="","",VLOOKUP(47,入力,3))</f>
      </c>
      <c r="D39" s="120">
        <f>IF(VLOOKUP(47,入力,4)="","",VLOOKUP(47,入力,4))</f>
      </c>
      <c r="E39" s="126"/>
      <c r="F39" s="121"/>
      <c r="G39" s="148">
        <f>IF(VLOOKUP(47,入力,5)="","",VLOOKUP(47,入力,5))</f>
      </c>
      <c r="H39" s="149"/>
      <c r="I39" s="143">
        <f>IF(VLOOKUP(47,入力,6)="","",VLOOKUP(47,入力,6))</f>
      </c>
      <c r="J39" s="145"/>
      <c r="K39" s="120">
        <f>IF(VLOOKUP(56,入力,3)="","",VLOOKUP(56,入力,3))</f>
      </c>
      <c r="L39" s="126"/>
      <c r="M39" s="121"/>
      <c r="N39" s="120">
        <f>IF(VLOOKUP(56,入力,4)="","",VLOOKUP(56,入力,4))</f>
      </c>
      <c r="O39" s="121"/>
    </row>
    <row r="40" spans="2:15" ht="15" customHeight="1">
      <c r="B40" s="147"/>
      <c r="C40" s="2">
        <f>IF(VLOOKUP(48,入力,3)="","",VLOOKUP(48,入力,3))</f>
      </c>
      <c r="D40" s="120">
        <f>IF(VLOOKUP(48,入力,4)="","",VLOOKUP(48,入力,4))</f>
      </c>
      <c r="E40" s="126"/>
      <c r="F40" s="121"/>
      <c r="G40" s="150"/>
      <c r="H40" s="151"/>
      <c r="I40" s="144"/>
      <c r="J40" s="145"/>
      <c r="K40" s="120">
        <f>IF(VLOOKUP(57,入力,3)="","",VLOOKUP(57,入力,3))</f>
      </c>
      <c r="L40" s="126"/>
      <c r="M40" s="121"/>
      <c r="N40" s="120">
        <f>IF(VLOOKUP(57,入力,4)="","",VLOOKUP(57,入力,4))</f>
      </c>
      <c r="O40" s="121"/>
    </row>
    <row r="41" spans="2:15" ht="15" customHeight="1">
      <c r="B41" s="146" t="s">
        <v>81</v>
      </c>
      <c r="C41" s="2">
        <f>IF(VLOOKUP(49,入力,3)="","",VLOOKUP(49,入力,3))</f>
      </c>
      <c r="D41" s="120">
        <f>IF(VLOOKUP(49,入力,4)="","",VLOOKUP(49,入力,4))</f>
      </c>
      <c r="E41" s="126"/>
      <c r="F41" s="121"/>
      <c r="G41" s="148">
        <f>IF(VLOOKUP(49,入力,5)="","",VLOOKUP(49,入力,5))</f>
      </c>
      <c r="H41" s="149"/>
      <c r="I41" s="143">
        <f>IF(VLOOKUP(49,入力,6)="","",VLOOKUP(49,入力,6))</f>
      </c>
      <c r="J41" s="145"/>
      <c r="K41" s="133" t="s">
        <v>115</v>
      </c>
      <c r="L41" s="134"/>
      <c r="M41" s="134"/>
      <c r="N41" s="134"/>
      <c r="O41" s="135"/>
    </row>
    <row r="42" spans="2:15" ht="15" customHeight="1">
      <c r="B42" s="147"/>
      <c r="C42" s="2">
        <f>IF(VLOOKUP(50,入力,3)="","",VLOOKUP(50,入力,3))</f>
      </c>
      <c r="D42" s="120">
        <f>IF(VLOOKUP(50,入力,4)="","",VLOOKUP(50,入力,4))</f>
      </c>
      <c r="E42" s="126"/>
      <c r="F42" s="121"/>
      <c r="G42" s="150"/>
      <c r="H42" s="151"/>
      <c r="I42" s="144"/>
      <c r="J42" s="145"/>
      <c r="K42" s="136"/>
      <c r="L42" s="137"/>
      <c r="M42" s="137"/>
      <c r="N42" s="137"/>
      <c r="O42" s="138"/>
    </row>
    <row r="43" spans="2:15" ht="15" customHeight="1">
      <c r="B43" s="146" t="s">
        <v>82</v>
      </c>
      <c r="C43" s="2">
        <f>IF(VLOOKUP(51,入力,3)="","",VLOOKUP(51,入力,3))</f>
      </c>
      <c r="D43" s="120">
        <f>IF(VLOOKUP(51,入力,4)="","",VLOOKUP(51,入力,4))</f>
      </c>
      <c r="E43" s="126"/>
      <c r="F43" s="121"/>
      <c r="G43" s="148">
        <f>IF(VLOOKUP(51,入力,5)="","",VLOOKUP(51,入力,5))</f>
      </c>
      <c r="H43" s="149"/>
      <c r="I43" s="143">
        <f>IF(VLOOKUP(51,入力,6)="","",VLOOKUP(51,入力,6))</f>
      </c>
      <c r="J43" s="145"/>
      <c r="K43" s="136"/>
      <c r="L43" s="137"/>
      <c r="M43" s="137"/>
      <c r="N43" s="137"/>
      <c r="O43" s="138"/>
    </row>
    <row r="44" spans="2:15" ht="15" customHeight="1">
      <c r="B44" s="147"/>
      <c r="C44" s="2">
        <f>IF(VLOOKUP(52,入力,3)="","",VLOOKUP(52,入力,3))</f>
      </c>
      <c r="D44" s="120">
        <f>IF(VLOOKUP(52,入力,4)="","",VLOOKUP(52,入力,4))</f>
      </c>
      <c r="E44" s="126"/>
      <c r="F44" s="121"/>
      <c r="G44" s="150"/>
      <c r="H44" s="151"/>
      <c r="I44" s="144"/>
      <c r="J44" s="144"/>
      <c r="K44" s="139"/>
      <c r="L44" s="140"/>
      <c r="M44" s="140"/>
      <c r="N44" s="140"/>
      <c r="O44" s="141"/>
    </row>
    <row r="45" spans="2:15" ht="13.5">
      <c r="B45" s="58"/>
      <c r="C45" s="6"/>
      <c r="D45" s="6"/>
      <c r="E45" s="6"/>
      <c r="F45" s="6"/>
      <c r="G45" s="6"/>
      <c r="H45" s="6"/>
      <c r="I45" s="6"/>
      <c r="J45" s="6"/>
      <c r="K45" s="6"/>
      <c r="L45" s="6"/>
      <c r="M45" s="59"/>
      <c r="N45" s="59"/>
      <c r="O45" s="59"/>
    </row>
    <row r="46" spans="2:15" ht="40.5" customHeight="1">
      <c r="B46" s="166" t="s">
        <v>46</v>
      </c>
      <c r="C46" s="166"/>
      <c r="D46" s="166"/>
      <c r="E46" s="166"/>
      <c r="F46" s="166"/>
      <c r="G46" s="166"/>
      <c r="H46" s="166"/>
      <c r="I46" s="166"/>
      <c r="J46" s="166"/>
      <c r="K46" s="166"/>
      <c r="L46" s="166"/>
      <c r="M46" s="166"/>
      <c r="N46" s="166"/>
      <c r="O46" s="166"/>
    </row>
    <row r="47" spans="2:15" ht="13.5">
      <c r="B47" s="15"/>
      <c r="C47" s="15"/>
      <c r="D47" s="15"/>
      <c r="E47" s="15"/>
      <c r="F47" s="15"/>
      <c r="G47" s="15"/>
      <c r="H47" s="15"/>
      <c r="I47" s="15"/>
      <c r="J47" s="15"/>
      <c r="K47" s="15"/>
      <c r="L47" s="15"/>
      <c r="M47" s="15"/>
      <c r="N47" s="15"/>
      <c r="O47" s="15"/>
    </row>
    <row r="48" spans="2:15" ht="13.5">
      <c r="B48" s="1" t="s">
        <v>47</v>
      </c>
      <c r="I48" s="162" t="str">
        <f>IF(VLOOKUP(1,入力,3)="","　　　年 　　月 　　日",VLOOKUP(1,入力,3))</f>
        <v>　　　年 　　月 　　日</v>
      </c>
      <c r="J48" s="162"/>
      <c r="K48" s="162"/>
      <c r="L48" s="162"/>
      <c r="M48" s="162"/>
      <c r="N48" s="3"/>
      <c r="O48" s="14"/>
    </row>
    <row r="49" spans="10:15" ht="13.5">
      <c r="J49" s="3"/>
      <c r="K49" s="3"/>
      <c r="L49" s="3"/>
      <c r="M49" s="3"/>
      <c r="N49" s="3"/>
      <c r="O49" s="3"/>
    </row>
    <row r="50" spans="10:15" ht="13.5" customHeight="1">
      <c r="J50" s="18" t="str">
        <f>IF(VLOOKUP(9,入力,3)="","立　　　　　　　　　校長",C6&amp;"長")</f>
        <v>立　　　　　　　　　校長</v>
      </c>
      <c r="K50" s="18"/>
      <c r="L50" s="142">
        <f>IF(VLOOKUP(8,入力,3)="","",VLOOKUP(8,入力,3))</f>
      </c>
      <c r="M50" s="142"/>
      <c r="N50" s="17" t="s">
        <v>69</v>
      </c>
      <c r="O50" s="16"/>
    </row>
    <row r="51" spans="3:15" ht="13.5">
      <c r="C51" s="13"/>
      <c r="D51" s="13"/>
      <c r="E51" s="13"/>
      <c r="F51" s="13"/>
      <c r="G51" s="13"/>
      <c r="H51" s="13"/>
      <c r="I51" s="13"/>
      <c r="J51" s="12"/>
      <c r="K51" s="12"/>
      <c r="L51" s="12"/>
      <c r="M51" s="12"/>
      <c r="N51" s="12"/>
      <c r="O51" s="3"/>
    </row>
    <row r="52" spans="3:15" ht="13.5">
      <c r="C52" s="13"/>
      <c r="D52" s="13"/>
      <c r="E52" s="13"/>
      <c r="F52" s="13"/>
      <c r="G52" s="13"/>
      <c r="H52" s="13"/>
      <c r="I52" s="13"/>
      <c r="J52" s="12"/>
      <c r="K52" s="12"/>
      <c r="L52" s="12"/>
      <c r="M52" s="12"/>
      <c r="N52" s="12"/>
      <c r="O52" s="3"/>
    </row>
    <row r="53" spans="3:15" ht="13.5">
      <c r="C53" s="13"/>
      <c r="D53" s="13"/>
      <c r="E53" s="13"/>
      <c r="F53" s="13"/>
      <c r="G53" s="13"/>
      <c r="H53" s="13"/>
      <c r="I53" s="13"/>
      <c r="J53" s="12"/>
      <c r="K53" s="12"/>
      <c r="L53" s="12"/>
      <c r="M53" s="12"/>
      <c r="N53" s="12"/>
      <c r="O53" s="3"/>
    </row>
    <row r="55" ht="13.5">
      <c r="B55" s="7"/>
    </row>
    <row r="59" ht="13.5">
      <c r="B59" s="7"/>
    </row>
  </sheetData>
  <sheetProtection sheet="1" selectLockedCells="1" selectUnlockedCells="1"/>
  <mergeCells count="115">
    <mergeCell ref="K15:M15"/>
    <mergeCell ref="C12:O12"/>
    <mergeCell ref="K14:M14"/>
    <mergeCell ref="K13:M13"/>
    <mergeCell ref="K18:M18"/>
    <mergeCell ref="K17:M17"/>
    <mergeCell ref="H16:J16"/>
    <mergeCell ref="E16:G16"/>
    <mergeCell ref="C15:D15"/>
    <mergeCell ref="H14:J14"/>
    <mergeCell ref="G31:H31"/>
    <mergeCell ref="N25:O25"/>
    <mergeCell ref="K28:M28"/>
    <mergeCell ref="K27:M27"/>
    <mergeCell ref="K26:M26"/>
    <mergeCell ref="G30:H30"/>
    <mergeCell ref="G29:H29"/>
    <mergeCell ref="D31:E31"/>
    <mergeCell ref="I48:M48"/>
    <mergeCell ref="C8:O8"/>
    <mergeCell ref="B46:O46"/>
    <mergeCell ref="J24:J32"/>
    <mergeCell ref="N24:O24"/>
    <mergeCell ref="K16:M16"/>
    <mergeCell ref="D36:F36"/>
    <mergeCell ref="H15:J15"/>
    <mergeCell ref="G32:H32"/>
    <mergeCell ref="E15:G15"/>
    <mergeCell ref="B4:O4"/>
    <mergeCell ref="C35:O35"/>
    <mergeCell ref="C7:O7"/>
    <mergeCell ref="C6:O6"/>
    <mergeCell ref="C23:O23"/>
    <mergeCell ref="K25:M25"/>
    <mergeCell ref="N18:O18"/>
    <mergeCell ref="N17:O17"/>
    <mergeCell ref="D32:E32"/>
    <mergeCell ref="N16:O16"/>
    <mergeCell ref="N15:O15"/>
    <mergeCell ref="N13:O13"/>
    <mergeCell ref="N14:O14"/>
    <mergeCell ref="N19:O19"/>
    <mergeCell ref="N20:O20"/>
    <mergeCell ref="K20:M20"/>
    <mergeCell ref="B19:J20"/>
    <mergeCell ref="K19:M19"/>
    <mergeCell ref="N28:O28"/>
    <mergeCell ref="N27:O27"/>
    <mergeCell ref="N26:O26"/>
    <mergeCell ref="K24:M24"/>
    <mergeCell ref="G28:H28"/>
    <mergeCell ref="G27:H27"/>
    <mergeCell ref="D25:E25"/>
    <mergeCell ref="N36:O36"/>
    <mergeCell ref="N37:O37"/>
    <mergeCell ref="D37:F37"/>
    <mergeCell ref="D38:F38"/>
    <mergeCell ref="D42:F42"/>
    <mergeCell ref="D43:F43"/>
    <mergeCell ref="G41:H42"/>
    <mergeCell ref="G39:H40"/>
    <mergeCell ref="G36:H36"/>
    <mergeCell ref="G37:H38"/>
    <mergeCell ref="D44:F44"/>
    <mergeCell ref="J36:J44"/>
    <mergeCell ref="B37:B38"/>
    <mergeCell ref="B39:B40"/>
    <mergeCell ref="B41:B42"/>
    <mergeCell ref="B43:B44"/>
    <mergeCell ref="D39:F39"/>
    <mergeCell ref="D40:F40"/>
    <mergeCell ref="D41:F41"/>
    <mergeCell ref="G43:H44"/>
    <mergeCell ref="L50:M50"/>
    <mergeCell ref="I37:I38"/>
    <mergeCell ref="I43:I44"/>
    <mergeCell ref="I41:I42"/>
    <mergeCell ref="I39:I40"/>
    <mergeCell ref="K39:M39"/>
    <mergeCell ref="K40:M40"/>
    <mergeCell ref="C16:D16"/>
    <mergeCell ref="K41:O44"/>
    <mergeCell ref="K29:O32"/>
    <mergeCell ref="L9:O9"/>
    <mergeCell ref="N39:O39"/>
    <mergeCell ref="N40:O40"/>
    <mergeCell ref="K36:M36"/>
    <mergeCell ref="K37:M37"/>
    <mergeCell ref="K38:M38"/>
    <mergeCell ref="N38:O38"/>
    <mergeCell ref="C14:D14"/>
    <mergeCell ref="C13:D13"/>
    <mergeCell ref="C11:D11"/>
    <mergeCell ref="E14:G14"/>
    <mergeCell ref="E13:G13"/>
    <mergeCell ref="C9:F9"/>
    <mergeCell ref="G9:K9"/>
    <mergeCell ref="H13:J13"/>
    <mergeCell ref="D29:E29"/>
    <mergeCell ref="D28:E28"/>
    <mergeCell ref="D27:E27"/>
    <mergeCell ref="D26:E26"/>
    <mergeCell ref="C18:D18"/>
    <mergeCell ref="C17:D17"/>
    <mergeCell ref="D24:E24"/>
    <mergeCell ref="D30:E30"/>
    <mergeCell ref="M2:O2"/>
    <mergeCell ref="J2:L2"/>
    <mergeCell ref="G26:H26"/>
    <mergeCell ref="G25:H25"/>
    <mergeCell ref="G24:H24"/>
    <mergeCell ref="H18:J18"/>
    <mergeCell ref="H17:J17"/>
    <mergeCell ref="E18:G18"/>
    <mergeCell ref="E17:G17"/>
  </mergeCells>
  <printOptions horizontalCentered="1" verticalCentered="1"/>
  <pageMargins left="0.7874015748031497" right="0.7874015748031497" top="0.5905511811023623" bottom="0.5905511811023623" header="0.5118110236220472" footer="0.5118110236220472"/>
  <pageSetup fitToHeight="1" fitToWidth="1" horizontalDpi="300" verticalDpi="300" orientation="portrait" paperSize="9" scale="98" r:id="rId1"/>
  <ignoredErrors>
    <ignoredError sqref="B25:B32 B37 B15:B16 H14:J16 B39:B44 B17:B18 H17:H18" numberStoredAsText="1"/>
    <ignoredError sqref="I3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Nobuyuki Matsumura</dc:creator>
  <cp:keywords/>
  <dc:description/>
  <cp:lastModifiedBy>高崎市</cp:lastModifiedBy>
  <cp:lastPrinted>2009-03-06T05:07:58Z</cp:lastPrinted>
  <dcterms:created xsi:type="dcterms:W3CDTF">1997-01-08T22:48:59Z</dcterms:created>
  <dcterms:modified xsi:type="dcterms:W3CDTF">2022-05-02T09:08:21Z</dcterms:modified>
  <cp:category/>
  <cp:version/>
  <cp:contentType/>
  <cp:contentStatus/>
</cp:coreProperties>
</file>